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875" windowWidth="9720" windowHeight="6495" tabRatio="929" activeTab="4"/>
  </bookViews>
  <sheets>
    <sheet name="pl" sheetId="1" r:id="rId1"/>
    <sheet name="bs" sheetId="2" r:id="rId2"/>
    <sheet name="ChangesInEquity 2005" sheetId="3" r:id="rId3"/>
    <sheet name="ChangesInEquity2006" sheetId="4" r:id="rId4"/>
    <sheet name="CF" sheetId="5" r:id="rId5"/>
    <sheet name="notes" sheetId="6" r:id="rId6"/>
  </sheets>
  <externalReferences>
    <externalReference r:id="rId9"/>
    <externalReference r:id="rId10"/>
  </externalReferences>
  <definedNames>
    <definedName name="_xlnm.Print_Area" localSheetId="1">'bs'!$A$1:$I$66</definedName>
    <definedName name="_xlnm.Print_Area" localSheetId="2">'ChangesInEquity 2005'!$A$1:$N$39</definedName>
    <definedName name="_xlnm.Print_Area" localSheetId="3">'ChangesInEquity2006'!$A$1:$O$48</definedName>
    <definedName name="_xlnm.Print_Area" localSheetId="5">'notes'!$A$1:$L$329</definedName>
    <definedName name="_xlnm.Print_Area" localSheetId="0">'pl'!$A$1:$I$59</definedName>
  </definedNames>
  <calcPr fullCalcOnLoad="1"/>
</workbook>
</file>

<file path=xl/sharedStrings.xml><?xml version="1.0" encoding="utf-8"?>
<sst xmlns="http://schemas.openxmlformats.org/spreadsheetml/2006/main" count="421" uniqueCount="320">
  <si>
    <t>-5-</t>
  </si>
  <si>
    <t>-6-</t>
  </si>
  <si>
    <t>-7-</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</si>
  <si>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</si>
  <si>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</si>
  <si>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</si>
  <si>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</si>
  <si>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</si>
  <si>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</si>
  <si>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RM'000</t>
  </si>
  <si>
    <t>Taxation</t>
  </si>
  <si>
    <t>- 2 -</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</si>
  <si>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</si>
  <si>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</si>
  <si>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</si>
  <si>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</si>
  <si>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</si>
  <si>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</si>
  <si>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</si>
  <si>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</si>
  <si>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</si>
  <si>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</si>
  <si>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</si>
  <si>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</si>
  <si>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</si>
  <si>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</si>
  <si>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</si>
  <si>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</si>
  <si>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 xml:space="preserve">   Bank overdraft</t>
  </si>
  <si>
    <t xml:space="preserve">   Bankers acceptance</t>
  </si>
  <si>
    <t>Off Balance Sheet Financial Instruments</t>
  </si>
  <si>
    <t>Review of Performance of the Company and its Principal Subsidiaries</t>
  </si>
  <si>
    <t>Variance of Actual Profit  from Forecast Profit</t>
  </si>
  <si>
    <t>Not applicable.</t>
  </si>
  <si>
    <t>By Order of the Board</t>
  </si>
  <si>
    <t>Company Secretary</t>
  </si>
  <si>
    <t>Long Term Investments</t>
  </si>
  <si>
    <t>Current Assets</t>
  </si>
  <si>
    <t>Share Capital</t>
  </si>
  <si>
    <t>Treasury Shares</t>
  </si>
  <si>
    <t xml:space="preserve">   Fertilizers</t>
  </si>
  <si>
    <t xml:space="preserve">   Others</t>
  </si>
  <si>
    <t>Provision for diminution in value</t>
  </si>
  <si>
    <t>At Book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</si>
  <si>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</si>
  <si>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</si>
  <si>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</si>
  <si>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</si>
  <si>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price</t>
  </si>
  <si>
    <t>purchased</t>
  </si>
  <si>
    <t>paid</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</si>
  <si>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</si>
  <si>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</si>
  <si>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</si>
  <si>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</si>
  <si>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</si>
  <si>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</si>
  <si>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Payables</t>
  </si>
  <si>
    <t>Other Payables</t>
  </si>
  <si>
    <t>Year-To-Date</t>
  </si>
  <si>
    <t>Total purchases and disposals of quoted securities were as follows:</t>
  </si>
  <si>
    <t>Total Sale Proceeds</t>
  </si>
  <si>
    <t xml:space="preserve">  In respect of profit for the year</t>
  </si>
  <si>
    <t>October</t>
  </si>
  <si>
    <t>November</t>
  </si>
  <si>
    <t>Prospects for the remaining period to the end of the financial year</t>
  </si>
  <si>
    <t xml:space="preserve">  Under/(Over) provision in respect of previous years</t>
  </si>
  <si>
    <t>Profit on Sale of Unquoted Investments and/or Properties</t>
  </si>
  <si>
    <t>Real Property Gain Tax</t>
  </si>
  <si>
    <t>Profit on sale of unquoted investments and/or properties are as follows:</t>
  </si>
  <si>
    <t>Profit on sale of unquoted investments</t>
  </si>
  <si>
    <t>(Figures in RM'000)</t>
  </si>
  <si>
    <t>Operating profit</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</si>
  <si>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</si>
  <si>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</si>
  <si>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</si>
  <si>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</si>
  <si>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</si>
  <si>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</si>
  <si>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</si>
  <si>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</si>
  <si>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</si>
  <si>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</si>
  <si>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</si>
  <si>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</si>
  <si>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</si>
  <si>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</si>
  <si>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</si>
  <si>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</si>
  <si>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</si>
  <si>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</si>
  <si>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</si>
  <si>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</si>
  <si>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</si>
  <si>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Dividends paid</t>
  </si>
  <si>
    <t>Explanatory comments about the seasonality or cyclicality of interim operations</t>
  </si>
  <si>
    <t xml:space="preserve">Changes in prior estimates of amounts which materially affects the current interim period </t>
  </si>
  <si>
    <t>Issuances, cancellations, repurchases, resale and repayments of debt and equity securities</t>
  </si>
  <si>
    <t>Unallocated expenses</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</si>
  <si>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</si>
  <si>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</si>
  <si>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</si>
  <si>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</si>
  <si>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</si>
  <si>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</si>
  <si>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</si>
  <si>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</si>
  <si>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</si>
  <si>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</si>
  <si>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</si>
  <si>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</si>
  <si>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</si>
  <si>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</si>
  <si>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</si>
  <si>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</si>
  <si>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-3-</t>
  </si>
  <si>
    <t>-4-</t>
  </si>
  <si>
    <t>-9-</t>
  </si>
  <si>
    <t>Segment Profit before tax (RM'000)</t>
  </si>
  <si>
    <t>Distributable</t>
  </si>
  <si>
    <t>There were no material changes in the prior estimates which would materially affect the current interim period.</t>
  </si>
  <si>
    <t>Basis of preparation</t>
  </si>
  <si>
    <t>Non - Distributable</t>
  </si>
  <si>
    <t>Disclosure of audit report qualification</t>
  </si>
  <si>
    <t>Dividend</t>
  </si>
  <si>
    <t>This is not applicable as the audit report issued for the preceding annual financial statements was unqualified.</t>
  </si>
  <si>
    <t>Treasury</t>
  </si>
  <si>
    <t>Shares</t>
  </si>
  <si>
    <t>because of nature and size</t>
  </si>
  <si>
    <t xml:space="preserve">Nature and amount of items affecting assets, liabilities, equity, net income or cash flows that are unusual </t>
  </si>
  <si>
    <t>Effect of warrants (B)('000)</t>
  </si>
  <si>
    <t>ESOS</t>
  </si>
  <si>
    <t>Taxation charge of the Group for the current quarter and financial period was as follows:</t>
  </si>
  <si>
    <t>The warrants were issued on 20 March 2003.</t>
  </si>
  <si>
    <t>Amount (RM)</t>
  </si>
  <si>
    <t>Balance</t>
  </si>
  <si>
    <t>Rationalisation of pharmaceutical Manufacturing operations of the UPHA Group and CCM Pharma</t>
  </si>
  <si>
    <t>Nil</t>
  </si>
  <si>
    <t>Refinancing of existing term loans</t>
  </si>
  <si>
    <t>Working capital requirements of the CCM Group</t>
  </si>
  <si>
    <t>Progress of the utilization of proceeds from the issuance of Bonds pursuant to the Offer for Sale are as follows:</t>
  </si>
  <si>
    <t>Share Premium</t>
  </si>
  <si>
    <t xml:space="preserve">  Provision for the year</t>
  </si>
  <si>
    <t>Unquoted investment</t>
  </si>
  <si>
    <t xml:space="preserve">   Revolving Credit</t>
  </si>
  <si>
    <t>RAMA DEVI NAIR</t>
  </si>
  <si>
    <t>-12-</t>
  </si>
  <si>
    <t>Commercial Paper</t>
  </si>
  <si>
    <t>Market Value of quoted investment</t>
  </si>
  <si>
    <t>Net cash generated from financing activities</t>
  </si>
  <si>
    <t>Sale of products to associate,Usaha Kimia (Malaysia) Sdn Bhd</t>
  </si>
  <si>
    <t>Sale of products to PNB Group of Companies:</t>
  </si>
  <si>
    <t>Ansell N.P. Sdn Bhd</t>
  </si>
  <si>
    <t>Golden Hope Plantations Sdn Bhd</t>
  </si>
  <si>
    <t>Titan  Petrochemical Group</t>
  </si>
  <si>
    <t>Fraser &amp; Neave Group</t>
  </si>
  <si>
    <t>ICI Paints Group</t>
  </si>
  <si>
    <t>Effects of shares issued ('000)</t>
  </si>
  <si>
    <t>RM’000</t>
  </si>
  <si>
    <t>Turnover</t>
  </si>
  <si>
    <t>Increase/</t>
  </si>
  <si>
    <t>%</t>
  </si>
  <si>
    <t>(Decreae) in</t>
  </si>
  <si>
    <t>The lower effective tax rate compared to the statutory rate is mainly due to the profit on disposal of investments, which are not taxable.</t>
  </si>
  <si>
    <t>Total Gain on Disposal</t>
  </si>
  <si>
    <t>12 months to</t>
  </si>
  <si>
    <t>(Decrease) in</t>
  </si>
  <si>
    <t>Sime Darby Plantation Bhd</t>
  </si>
  <si>
    <t>31-December -05</t>
  </si>
  <si>
    <t>Other income</t>
  </si>
  <si>
    <t>Business profit</t>
  </si>
  <si>
    <t xml:space="preserve">   Pharmaceuticals</t>
  </si>
  <si>
    <t>Goodwill</t>
  </si>
  <si>
    <t>-8-</t>
  </si>
  <si>
    <t>Income tax expense</t>
  </si>
  <si>
    <t>Profit for the period</t>
  </si>
  <si>
    <t>Profit from the operations</t>
  </si>
  <si>
    <t>Share of profit after tax and minority interest</t>
  </si>
  <si>
    <t>of associates</t>
  </si>
  <si>
    <t>Profit before taxation</t>
  </si>
  <si>
    <t>Attributable to:</t>
  </si>
  <si>
    <t xml:space="preserve">   Shareholders of the Company</t>
  </si>
  <si>
    <t xml:space="preserve">   Minority interests</t>
  </si>
  <si>
    <t>In thousands of RM</t>
  </si>
  <si>
    <t>(restated)</t>
  </si>
  <si>
    <t>As at 31 December 2005</t>
  </si>
  <si>
    <t>Investment property</t>
  </si>
  <si>
    <t>Intangible assets</t>
  </si>
  <si>
    <t>Interest in associates</t>
  </si>
  <si>
    <t>Deferred tax assets</t>
  </si>
  <si>
    <t>Total non-current assets</t>
  </si>
  <si>
    <t>Trade and other Receivables</t>
  </si>
  <si>
    <t>Cash and cash equivalents</t>
  </si>
  <si>
    <t>Total current assets</t>
  </si>
  <si>
    <t xml:space="preserve">Total equity attributable to shareholders of the </t>
  </si>
  <si>
    <t>Company</t>
  </si>
  <si>
    <t>Minority interests</t>
  </si>
  <si>
    <t>Total equity</t>
  </si>
  <si>
    <t>Deferred tax liabilities</t>
  </si>
  <si>
    <t>ASSETS</t>
  </si>
  <si>
    <t>TOTAL ASSETS</t>
  </si>
  <si>
    <t>EQUITY AND LIABILITIES</t>
  </si>
  <si>
    <t>Retained earnings</t>
  </si>
  <si>
    <t>Other Reserves</t>
  </si>
  <si>
    <t>Non-current liabilities</t>
  </si>
  <si>
    <t>Borrowings</t>
  </si>
  <si>
    <t>Provisions for other liabilities</t>
  </si>
  <si>
    <t>Total non-current liabilities</t>
  </si>
  <si>
    <t>Current liabilities</t>
  </si>
  <si>
    <t>Current tax payable</t>
  </si>
  <si>
    <t>Total current liabilities</t>
  </si>
  <si>
    <t>Total liabilities</t>
  </si>
  <si>
    <t>TOTAL EQUITY AND LIABILITIES</t>
  </si>
  <si>
    <t>Net assets=(Shldr funds+ MI)/ (Sh cap- 5888)*100</t>
  </si>
  <si>
    <t>Interest</t>
  </si>
  <si>
    <t>As at 1 January 2005</t>
  </si>
  <si>
    <t>Prior year adjustments</t>
  </si>
  <si>
    <t>The valuations of land and buildings have been brought forward, without amendment from the previous annual financial statements.</t>
  </si>
  <si>
    <t>There were no major changes in the composition of the Group for the current quarter.</t>
  </si>
  <si>
    <t xml:space="preserve">   Foreign Currency Loan</t>
  </si>
  <si>
    <t>QTR 1'06</t>
  </si>
  <si>
    <t>Equity</t>
  </si>
  <si>
    <t>Minority</t>
  </si>
  <si>
    <t>Profit for the period (as restated)</t>
  </si>
  <si>
    <t>the period</t>
  </si>
  <si>
    <t>Increase in Share Capital through ESOS</t>
  </si>
  <si>
    <t xml:space="preserve">Total recognised income and expense for </t>
  </si>
  <si>
    <t>As at 1 January 2006</t>
  </si>
  <si>
    <t>Cost of Sales</t>
  </si>
  <si>
    <t>Gross profit</t>
  </si>
  <si>
    <t>Distribution expenses</t>
  </si>
  <si>
    <t>Administration expenses</t>
  </si>
  <si>
    <t>Other expenses</t>
  </si>
  <si>
    <t>The interim financial report has been prepared in accordance with the same accounting policies in the 2005 annual financial statements, except for the accounting policy changes that are expected to be reflected in the 2006 annual financial statements.</t>
  </si>
  <si>
    <t>There were no unusual items which affected assets, liabilities, equity, net income or cash flows, except for the changes in the accounting policies as disclosed in the Note 2 above.</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</si>
  <si>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attributableto equity holders of the parent and to minority interest.</t>
  </si>
  <si>
    <t>The current period's presentation of the Group's financial statement is based on the revised requirements of FRS 101, with the comparatives restated to conform with the current period's presentation.</t>
  </si>
  <si>
    <t>Changes in accounting policies</t>
  </si>
  <si>
    <t>Segment reporting</t>
  </si>
  <si>
    <t>Segment result</t>
  </si>
  <si>
    <t>Segment Revenue</t>
  </si>
  <si>
    <t>Post balance sheet events</t>
  </si>
  <si>
    <t>Retained Profit</t>
  </si>
  <si>
    <t>As at 1 January 2006 - restated</t>
  </si>
  <si>
    <t>The following table shows the adjustment made to the opening balance as at 1 January 2006. The negative goodwill was derecognised with a corresponding increase in retained earnings.</t>
  </si>
  <si>
    <t>Total Reserves</t>
  </si>
  <si>
    <t xml:space="preserve">  - Effect of opening balance of Retained Profit at 1 January 2006 ( as adjusted)</t>
  </si>
  <si>
    <t>For Duopharma subsidiary</t>
  </si>
  <si>
    <t>The interim financial report is unaudited and has been prepared in accordance with the applicable disclosure provisions of Listing Requirements of Bursa Malaysia Securities Berhad including compliance with Financial Reporting Standard (FRS) 134 2004 , Interim Financial Reporting, issued by the Malaysian Accounting Standards Board (MASB).</t>
  </si>
  <si>
    <t xml:space="preserve">The preparation of an interim financial report in conformity with FRS 134 2004  , Interim Financial Reporting requires management to make judgements, estimates and assumptions that affect the application of policies and reported amounts of assets and liabilities, income and expenses on a year to date basis. Actual results may differ from those estimates. </t>
  </si>
  <si>
    <t>As previously reported</t>
  </si>
  <si>
    <t xml:space="preserve">Derecognition of negative goodwill  </t>
  </si>
  <si>
    <r>
      <t>Inter-segment revenue (</t>
    </r>
    <r>
      <rPr>
        <i/>
        <sz val="14"/>
        <rFont val="Times New Roman"/>
        <family val="1"/>
      </rPr>
      <t>is eliminated</t>
    </r>
    <r>
      <rPr>
        <sz val="14"/>
        <rFont val="Times New Roman"/>
        <family val="1"/>
      </rPr>
      <t>)</t>
    </r>
  </si>
  <si>
    <t xml:space="preserve">On 27 December 2002, the Company issued RM200,000,000 nominal amount of 7-year 3% Fixed Rate Bonds ('Bonds') together with 88,040,592 detachable warrants at 100% of the nominal amounts of the Bonds. The Bonds was structured on a "Bought deal" basis.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</si>
  <si>
    <t>Cash and cash equivalents at 1 January</t>
  </si>
  <si>
    <t xml:space="preserve">(The Condensed Cash Flow Statement should be read in conjunction with the Audited Financial Statements for the year ended 31 December 2005 </t>
  </si>
  <si>
    <t>and the accompanying notes to the interim financial statements)</t>
  </si>
  <si>
    <t xml:space="preserve">In accordance with FRS 3 (Business Combination), the Group no longer amortises negative goodwill and has derecognised the said goodwill with effect from 1 January 2006. The impact of the changes has been reflected in the financial statements. </t>
  </si>
  <si>
    <t xml:space="preserve">The financial information relating to the financial year ended 31 December 2005 that is included in the interim financial report as being previously reported information does not constitute the Company's statutory financial statements for that financial year but is derived from those financial statements other than those that have been restated as a result of the change in the accounting policies. Statutory financial statements for the year ended 31 December 2005 are available from the Company's registered office. </t>
  </si>
  <si>
    <t>The condensed consolidated income statement should be read in conjunction with the audited financial statements for the year ended 31 December 2005 and the accompanying explanatory notes attached to the interim financial statements.</t>
  </si>
  <si>
    <t>Authorisation for issue</t>
  </si>
  <si>
    <t>Effect of changes in the composition of the Group</t>
  </si>
  <si>
    <t>The Company applied for and obtained approval from the Securities Commission  to extend the period for utilization of the proceeds to 13 March 2008.</t>
  </si>
  <si>
    <t>Net cash (used) / generated from operating activities</t>
  </si>
  <si>
    <t>Net cash generated from / (used) in investing activities</t>
  </si>
  <si>
    <t xml:space="preserve">Net increase / (decrease) in cash and cash equivalents </t>
  </si>
  <si>
    <t>Net assets per share attributable</t>
  </si>
  <si>
    <t>to ordinary equity holders of the parent(sen)</t>
  </si>
  <si>
    <t>FOR THE FINANCIAL QUARTER ENDED 30 JUNE 2006</t>
  </si>
  <si>
    <t>The Group's results for the financial quarter and year ended 30 June 2006 are summarised as below:</t>
  </si>
  <si>
    <t>6 months to</t>
  </si>
  <si>
    <t>30-June-06</t>
  </si>
  <si>
    <t>There was no repurchase of shares during the quarter. The number of Treasury Shares as at 30 June 2006 is 2,998,000.</t>
  </si>
  <si>
    <t>CONDENSED CONSOLIDATED BALANCE SHEET AS AT 30 JUNE 2006 - UNAUDITED</t>
  </si>
  <si>
    <t>As at 30 June 2006</t>
  </si>
  <si>
    <t>As at 30 June  2005</t>
  </si>
  <si>
    <t>QUARTER 2</t>
  </si>
  <si>
    <t>SIX MONTHS ENDED</t>
  </si>
  <si>
    <t>Revaluation surplus</t>
  </si>
  <si>
    <t>For the 6 months ended</t>
  </si>
  <si>
    <t>During the quarter, Share Capital and Share Premium increased by RM8,128,000 and RM2,963,000  respectively due to the ESOS exercise of 484,000 ordinary shares and the conversion of  6,107,150 warrants.</t>
  </si>
  <si>
    <t>There are no material events after the period end that have not been reflected in the financial statements for the financial period ended 30 June 2006.</t>
  </si>
  <si>
    <t>Commitments as at 30 June 2006 are as follows:</t>
  </si>
  <si>
    <t>At 30 June 2006</t>
  </si>
  <si>
    <t>At 30 June 2005</t>
  </si>
  <si>
    <t>Kuala Lumpur Glass</t>
  </si>
  <si>
    <t>Investments in quoted shares as at 30 June 2006 were as follows:</t>
  </si>
  <si>
    <t>Utilised as at 30 June 2006</t>
  </si>
  <si>
    <t>The Group borrowings as at 30 June 2006 were as follows:</t>
  </si>
  <si>
    <t>chk</t>
  </si>
  <si>
    <t>The Group did not have any financial instruments with off balance sheet risk as at 18 August 2006, the latest practicable date which is not earlier than 7 days from the date of issue of this quarterly report.</t>
  </si>
  <si>
    <r>
      <t>The Group is not engaged in any material litigation as at 18 August 2006</t>
    </r>
    <r>
      <rPr>
        <u val="single"/>
        <sz val="14"/>
        <rFont val="Times New Roman"/>
        <family val="1"/>
      </rPr>
      <t>,</t>
    </r>
    <r>
      <rPr>
        <sz val="14"/>
        <rFont val="Times New Roman"/>
        <family val="1"/>
      </rPr>
      <t xml:space="preserve"> the latest practical date which is not earlier than 7 days from the date of this quarterly report. </t>
    </r>
  </si>
  <si>
    <t>QTR 2' 06</t>
  </si>
  <si>
    <t>YTD as at June</t>
  </si>
  <si>
    <t>&gt; 100</t>
  </si>
  <si>
    <t>Turnover increased by 20% compared to the corresponding period last year. Business profits increased by 45% compared to the corresponding quarter last year. The better performance in the quarter can be attributable to overall improvements in all business sectors and the inclusion of the results of Duopharma Group. Operating profits also improved significantly due to higher other income.</t>
  </si>
  <si>
    <t xml:space="preserve">Sale of Treasury shares </t>
  </si>
  <si>
    <t>Gain on Treasury shares</t>
  </si>
  <si>
    <t>UNAUDITED CONDENSED CONSOLIDATED INCOME STATEMENT FOR SIX  MONTHS ENDED 30 JUNE 2006</t>
  </si>
  <si>
    <t>CONDENSED CONSOLIDATED STATEMENT OF CHANGES IN EQUITY FOR THE SIX MONTHS ENDED 30 JUNE 2005 - UNAUDITED</t>
  </si>
  <si>
    <t>CONDENSED CONSOLIDATED STATEMENT OF CHANGES IN EQUITY FOR THE SIX MONTHS ENDED 30 JUNE 2006 - UNAUDITED</t>
  </si>
  <si>
    <t>Cash and cash equivalents as at 30 June</t>
  </si>
  <si>
    <t>CONDENSED CONSOLIDATED  CASH FLOW STATEMENT FOR THE SIX MONTHS ENDED 30 JUNE 2006</t>
  </si>
  <si>
    <t>Final dividend relating to the financial year ended 31 December 2005 of 9 sen per share, less tax and a special dividend of 5.0 sen per share, tax -exempt was paid in the current quarter.</t>
  </si>
  <si>
    <t xml:space="preserve">Contingent liabilities as at 18 August 2006, the latest practical date which is not earlier than 7 days from the date of this quarterly report is as follows:- </t>
  </si>
  <si>
    <t>Gross Interest Income</t>
  </si>
  <si>
    <t>Gross Interest Expense</t>
  </si>
  <si>
    <t xml:space="preserve">Loss on sale of properties </t>
  </si>
  <si>
    <t>A Depositors shall qualify for dividend entitlement only in respect of:-</t>
  </si>
  <si>
    <t xml:space="preserve"> - Guarantees for banking facilities granted to a subsidiary        RM22,680,000.</t>
  </si>
  <si>
    <t>Turnover increased by 8% in the quarter compared to the preceding quarter while business profits were 5% higher. The better results was contributed mainly by the Pharmaceuticals and Fertilizers divisions.</t>
  </si>
  <si>
    <t>Being any unforeseen circunstances, the Group's results for the remaining period is expected to be the same.</t>
  </si>
  <si>
    <t>NOTICE IS HEREBY GIVEN that the  dividend will be paid on 29 September 2006 to members whose names appear in the Record of Depositors of the Company on 18 September 2006.</t>
  </si>
  <si>
    <t>(a) Shares  transferred into Depositor's Securities Account before 4.00p.m. on 18 September 2006 in respect of ordinary transfer; and</t>
  </si>
  <si>
    <t>(c) Shares bought on the Bursa Malaysia Securities Berhad (BMSB) on a cum entitlement basis according to Rules of the BMSB.</t>
  </si>
  <si>
    <t>The interim financial statements were authorised for issue by the Board of Directors in accordance with a resolution of the directors on 25 August 2006.</t>
  </si>
  <si>
    <t>25 August 2006</t>
  </si>
  <si>
    <t>(b) Shares deposited into the Depositor's Securities Account before 12.30p.m. on 14 September 2006 (in respect of shares which are exempted from mandatory deposit).</t>
  </si>
  <si>
    <t xml:space="preserve">The Directors have declared a gross interim dividend of 9 sen (less 28% tax) per RM1.00 ordinary share unit in respect of the Company's financial year ending 31 December 2006. </t>
  </si>
  <si>
    <t>The condensed consolidated balance sheet should be read in conjunction with the audited financial statements for the year ended 31 December 2005 and the accompanying explanatory notes attached to the interim financial statements.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</si>
</sst>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0_ ;[Red]\-#,##0\ "/>
    <numFmt numFmtId="175" formatCode="0_ ;[Red]\-0\ "/>
    <numFmt numFmtId="176" formatCode="#,##0_ ;[Red]\(#,##0\)"/>
    <numFmt numFmtId="177" formatCode="_-* #,##0_-;\-* #,##0_-;_-* &quot;-&quot;??_-;_-@_-"/>
    <numFmt numFmtId="178" formatCode="_(* #,##0_);_(* \(#,##0\);_(* &quot;-&quot;??_);_(@_)"/>
    <numFmt numFmtId="179" formatCode="0.0%"/>
    <numFmt numFmtId="180" formatCode="[$-409]d\-mmm;@"/>
  </numFmts>
  <fonts count="24">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sz val="12"/>
      <color indexed="10"/>
      <name val="Times New Roman"/>
      <family val="1"/>
    </font>
    <font>
      <b/>
      <i/>
      <sz val="12"/>
      <name val="Times New Roman"/>
      <family val="1"/>
    </font>
    <font>
      <b/>
      <sz val="14"/>
      <name val="Times New Roman"/>
      <family val="1"/>
    </font>
    <font>
      <sz val="8"/>
      <name val="Book Antiqua"/>
      <family val="0"/>
    </font>
    <font>
      <sz val="14"/>
      <name val="Times New Roman"/>
      <family val="1"/>
    </font>
    <font>
      <b/>
      <i/>
      <sz val="14"/>
      <name val="Times New Roman"/>
      <family val="1"/>
    </font>
    <font>
      <sz val="14"/>
      <color indexed="8"/>
      <name val="Times New Roman"/>
      <family val="1"/>
    </font>
    <font>
      <i/>
      <sz val="14"/>
      <name val="Times New Roman"/>
      <family val="1"/>
    </font>
    <font>
      <b/>
      <sz val="14"/>
      <color indexed="8"/>
      <name val="Times New Roman"/>
      <family val="1"/>
    </font>
    <font>
      <u val="single"/>
      <sz val="14"/>
      <name val="Times New Roman"/>
      <family val="1"/>
    </font>
    <font>
      <sz val="14"/>
      <name val="Arial"/>
      <family val="2"/>
    </font>
    <font>
      <sz val="14"/>
      <color indexed="10"/>
      <name val="Times New Roman"/>
      <family val="1"/>
    </font>
    <font>
      <b/>
      <sz val="18"/>
      <name val="Times New Roman"/>
      <family val="1"/>
    </font>
    <font>
      <b/>
      <sz val="16"/>
      <name val="Times New Roman"/>
      <family val="1"/>
    </font>
    <font>
      <sz val="16"/>
      <name val="Times New Roman"/>
      <family val="1"/>
    </font>
    <font>
      <sz val="18"/>
      <name val="Times New Roman"/>
      <family val="1"/>
    </font>
    <font>
      <b/>
      <i/>
      <sz val="18"/>
      <name val="Times New Roman"/>
      <family val="1"/>
    </font>
    <font>
      <b/>
      <u val="single"/>
      <sz val="12"/>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double"/>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style="thin"/>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2">
    <xf numFmtId="0" fontId="0" fillId="0" borderId="0" xfId="0" applyAlignment="1">
      <alignment/>
    </xf>
    <xf numFmtId="177" fontId="2" fillId="0" borderId="0" xfId="15" applyNumberFormat="1" applyFont="1" applyAlignment="1">
      <alignment/>
    </xf>
    <xf numFmtId="177" fontId="1" fillId="0" borderId="0" xfId="15" applyNumberFormat="1" applyFont="1" applyAlignment="1">
      <alignment/>
    </xf>
    <xf numFmtId="0" fontId="1" fillId="0" borderId="0" xfId="0" applyFont="1" applyFill="1" applyAlignment="1">
      <alignment vertical="top" wrapText="1"/>
    </xf>
    <xf numFmtId="0" fontId="1" fillId="0" borderId="0" xfId="0" applyFont="1" applyFill="1" applyAlignment="1">
      <alignment/>
    </xf>
    <xf numFmtId="37" fontId="2" fillId="0" borderId="0" xfId="15" applyNumberFormat="1" applyFont="1" applyAlignment="1">
      <alignment/>
    </xf>
    <xf numFmtId="37" fontId="1" fillId="0" borderId="0" xfId="15" applyNumberFormat="1" applyFont="1" applyAlignment="1">
      <alignment/>
    </xf>
    <xf numFmtId="37" fontId="2" fillId="0" borderId="0" xfId="15" applyNumberFormat="1" applyFont="1" applyAlignment="1">
      <alignment horizontal="center"/>
    </xf>
    <xf numFmtId="37" fontId="1" fillId="0" borderId="1" xfId="15" applyNumberFormat="1" applyFont="1" applyBorder="1" applyAlignment="1">
      <alignment/>
    </xf>
    <xf numFmtId="37" fontId="1" fillId="0" borderId="2" xfId="15" applyNumberFormat="1" applyFont="1" applyBorder="1" applyAlignment="1">
      <alignment/>
    </xf>
    <xf numFmtId="37" fontId="1" fillId="0" borderId="0" xfId="15" applyNumberFormat="1" applyFont="1" applyBorder="1" applyAlignment="1">
      <alignment/>
    </xf>
    <xf numFmtId="37" fontId="1" fillId="0" borderId="3" xfId="15" applyNumberFormat="1" applyFont="1" applyBorder="1" applyAlignment="1">
      <alignment/>
    </xf>
    <xf numFmtId="37" fontId="1" fillId="0" borderId="0" xfId="15" applyNumberFormat="1" applyFont="1" applyAlignment="1">
      <alignment horizontal="center"/>
    </xf>
    <xf numFmtId="43" fontId="1" fillId="0" borderId="4" xfId="15" applyFont="1" applyBorder="1" applyAlignment="1">
      <alignment/>
    </xf>
    <xf numFmtId="43" fontId="1" fillId="0" borderId="5" xfId="15" applyFont="1" applyBorder="1" applyAlignment="1">
      <alignment/>
    </xf>
    <xf numFmtId="43" fontId="1" fillId="0" borderId="6" xfId="15" applyFont="1" applyBorder="1" applyAlignment="1">
      <alignment/>
    </xf>
    <xf numFmtId="37" fontId="1" fillId="0" borderId="0" xfId="15" applyNumberFormat="1" applyFont="1" applyAlignment="1">
      <alignment horizontal="right"/>
    </xf>
    <xf numFmtId="37" fontId="2" fillId="0" borderId="0" xfId="15" applyNumberFormat="1" applyFont="1" applyAlignment="1">
      <alignment horizontal="right"/>
    </xf>
    <xf numFmtId="37" fontId="1" fillId="0" borderId="1" xfId="15" applyNumberFormat="1" applyFont="1" applyBorder="1" applyAlignment="1">
      <alignment horizontal="right"/>
    </xf>
    <xf numFmtId="43" fontId="1" fillId="0" borderId="1" xfId="15" applyFont="1" applyBorder="1" applyAlignment="1">
      <alignment horizontal="right"/>
    </xf>
    <xf numFmtId="0" fontId="2" fillId="0" borderId="0" xfId="0" applyFont="1" applyFill="1" applyAlignment="1">
      <alignment/>
    </xf>
    <xf numFmtId="0" fontId="1" fillId="0" borderId="0" xfId="0" applyFont="1" applyFill="1" applyAlignment="1">
      <alignment horizontal="right"/>
    </xf>
    <xf numFmtId="37" fontId="1" fillId="0" borderId="0" xfId="15" applyNumberFormat="1" applyFont="1" applyFill="1" applyBorder="1" applyAlignment="1">
      <alignment/>
    </xf>
    <xf numFmtId="0" fontId="1" fillId="0" borderId="0" xfId="0" applyFont="1" applyFill="1" applyBorder="1" applyAlignment="1">
      <alignment/>
    </xf>
    <xf numFmtId="9" fontId="1" fillId="0" borderId="0" xfId="23" applyFont="1" applyFill="1" applyAlignment="1">
      <alignment/>
    </xf>
    <xf numFmtId="176" fontId="1" fillId="0" borderId="0" xfId="0" applyNumberFormat="1" applyFont="1" applyFill="1" applyAlignment="1">
      <alignment/>
    </xf>
    <xf numFmtId="37" fontId="1" fillId="0" borderId="0" xfId="15" applyNumberFormat="1" applyFont="1" applyFill="1" applyAlignment="1">
      <alignment/>
    </xf>
    <xf numFmtId="0" fontId="1" fillId="0" borderId="0" xfId="0" applyFont="1" applyFill="1" applyAlignment="1">
      <alignment horizontal="right" vertical="top"/>
    </xf>
    <xf numFmtId="37" fontId="1" fillId="0" borderId="0" xfId="0" applyNumberFormat="1" applyFont="1" applyFill="1" applyBorder="1" applyAlignment="1">
      <alignment vertical="top" wrapText="1"/>
    </xf>
    <xf numFmtId="0" fontId="1" fillId="0" borderId="0" xfId="0" applyFont="1" applyFill="1" applyAlignment="1">
      <alignment wrapText="1"/>
    </xf>
    <xf numFmtId="176" fontId="1" fillId="0" borderId="0" xfId="0" applyNumberFormat="1" applyFont="1" applyFill="1" applyBorder="1" applyAlignment="1">
      <alignment/>
    </xf>
    <xf numFmtId="37" fontId="1" fillId="0" borderId="1" xfId="15" applyNumberFormat="1" applyFont="1" applyFill="1" applyBorder="1" applyAlignment="1">
      <alignment/>
    </xf>
    <xf numFmtId="37" fontId="1" fillId="0" borderId="3" xfId="15" applyNumberFormat="1" applyFont="1" applyFill="1" applyBorder="1" applyAlignment="1">
      <alignment/>
    </xf>
    <xf numFmtId="178" fontId="1" fillId="0" borderId="0" xfId="0" applyNumberFormat="1" applyFont="1" applyFill="1" applyAlignment="1">
      <alignment/>
    </xf>
    <xf numFmtId="176" fontId="1" fillId="0" borderId="7" xfId="0" applyNumberFormat="1" applyFont="1" applyFill="1" applyBorder="1" applyAlignment="1">
      <alignment/>
    </xf>
    <xf numFmtId="176" fontId="2" fillId="0" borderId="8" xfId="0" applyNumberFormat="1" applyFont="1" applyFill="1" applyBorder="1" applyAlignment="1">
      <alignment/>
    </xf>
    <xf numFmtId="43" fontId="2" fillId="0" borderId="8" xfId="15" applyFont="1" applyFill="1" applyBorder="1" applyAlignment="1">
      <alignment/>
    </xf>
    <xf numFmtId="37" fontId="2" fillId="0" borderId="0" xfId="15" applyNumberFormat="1" applyFont="1" applyAlignment="1" quotePrefix="1">
      <alignment horizontal="center"/>
    </xf>
    <xf numFmtId="0" fontId="2" fillId="0" borderId="0" xfId="0" applyFont="1" applyFill="1" applyAlignment="1">
      <alignment horizontal="center"/>
    </xf>
    <xf numFmtId="37" fontId="1" fillId="0" borderId="5" xfId="15" applyNumberFormat="1" applyFont="1" applyBorder="1" applyAlignment="1">
      <alignment/>
    </xf>
    <xf numFmtId="176" fontId="1" fillId="0" borderId="8" xfId="0" applyNumberFormat="1" applyFont="1" applyFill="1" applyBorder="1" applyAlignment="1">
      <alignment/>
    </xf>
    <xf numFmtId="43" fontId="1" fillId="0" borderId="8" xfId="15" applyFont="1" applyFill="1" applyBorder="1" applyAlignment="1">
      <alignment/>
    </xf>
    <xf numFmtId="9" fontId="1" fillId="0" borderId="0" xfId="0" applyNumberFormat="1" applyFont="1" applyFill="1" applyAlignment="1">
      <alignment/>
    </xf>
    <xf numFmtId="0" fontId="7" fillId="0" borderId="0" xfId="0" applyFont="1" applyFill="1" applyAlignment="1">
      <alignment/>
    </xf>
    <xf numFmtId="175" fontId="1" fillId="0" borderId="0" xfId="0" applyNumberFormat="1" applyFont="1" applyFill="1" applyAlignment="1">
      <alignment/>
    </xf>
    <xf numFmtId="0" fontId="1" fillId="0" borderId="0" xfId="0" applyFont="1" applyFill="1" applyAlignment="1">
      <alignment horizontal="right" vertical="top" wrapText="1"/>
    </xf>
    <xf numFmtId="0" fontId="2" fillId="0" borderId="0" xfId="0" applyFont="1" applyFill="1" applyAlignment="1">
      <alignment vertical="top" wrapText="1"/>
    </xf>
    <xf numFmtId="43" fontId="1" fillId="0" borderId="7" xfId="15"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37" fontId="1" fillId="0" borderId="0" xfId="15" applyNumberFormat="1" applyFont="1" applyFill="1" applyBorder="1" applyAlignment="1">
      <alignment horizontal="right" vertical="top" wrapText="1"/>
    </xf>
    <xf numFmtId="43" fontId="1" fillId="0" borderId="0" xfId="15" applyFont="1" applyFill="1" applyBorder="1" applyAlignment="1">
      <alignment horizontal="center" vertical="top" wrapText="1"/>
    </xf>
    <xf numFmtId="0" fontId="8" fillId="0" borderId="0" xfId="0" applyFont="1" applyFill="1" applyAlignment="1" quotePrefix="1">
      <alignment horizontal="center"/>
    </xf>
    <xf numFmtId="0" fontId="8" fillId="0" borderId="0" xfId="0" applyFont="1" applyFill="1" applyAlignment="1">
      <alignment horizontal="center"/>
    </xf>
    <xf numFmtId="0" fontId="10" fillId="0" borderId="0" xfId="0" applyFont="1" applyFill="1" applyAlignment="1">
      <alignment/>
    </xf>
    <xf numFmtId="0" fontId="8" fillId="0" borderId="0" xfId="0" applyFont="1" applyFill="1" applyAlignment="1">
      <alignment/>
    </xf>
    <xf numFmtId="0" fontId="10" fillId="0" borderId="0" xfId="0" applyFont="1" applyFill="1" applyAlignment="1">
      <alignment horizontal="center" vertical="top"/>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3" fontId="10" fillId="0" borderId="8" xfId="0" applyNumberFormat="1" applyFont="1" applyFill="1" applyBorder="1" applyAlignment="1">
      <alignment horizontal="right" vertical="top" wrapText="1"/>
    </xf>
    <xf numFmtId="3" fontId="10" fillId="0" borderId="7" xfId="0" applyNumberFormat="1" applyFont="1" applyFill="1" applyBorder="1" applyAlignment="1">
      <alignment horizontal="right" vertical="top" wrapText="1"/>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vertical="top" wrapText="1"/>
    </xf>
    <xf numFmtId="0" fontId="8" fillId="0" borderId="0" xfId="0" applyFont="1" applyFill="1" applyAlignment="1">
      <alignment/>
    </xf>
    <xf numFmtId="0" fontId="10" fillId="0" borderId="8" xfId="0" applyFont="1" applyFill="1" applyBorder="1" applyAlignment="1">
      <alignment horizontal="center" vertical="center"/>
    </xf>
    <xf numFmtId="0" fontId="10" fillId="0" borderId="0" xfId="0" applyFont="1" applyFill="1" applyAlignment="1">
      <alignment vertical="top" wrapText="1"/>
    </xf>
    <xf numFmtId="37" fontId="10" fillId="0" borderId="0" xfId="0" applyNumberFormat="1" applyFont="1" applyFill="1" applyAlignment="1">
      <alignment/>
    </xf>
    <xf numFmtId="0" fontId="8" fillId="0" borderId="0" xfId="0" applyFont="1" applyFill="1" applyAlignment="1">
      <alignment vertical="top"/>
    </xf>
    <xf numFmtId="0" fontId="10" fillId="0" borderId="0" xfId="0" applyFont="1" applyFill="1" applyAlignment="1">
      <alignment horizontal="right"/>
    </xf>
    <xf numFmtId="0" fontId="10" fillId="0" borderId="0" xfId="0" applyFont="1" applyFill="1" applyAlignment="1">
      <alignment horizontal="justify"/>
    </xf>
    <xf numFmtId="0" fontId="10" fillId="0" borderId="0" xfId="0" applyFont="1" applyFill="1" applyAlignment="1">
      <alignment horizontal="right" vertical="top"/>
    </xf>
    <xf numFmtId="0" fontId="10" fillId="0" borderId="11"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right" vertical="center"/>
    </xf>
    <xf numFmtId="0" fontId="8" fillId="0" borderId="7" xfId="0" applyFont="1" applyFill="1" applyBorder="1" applyAlignment="1">
      <alignment horizontal="center" vertical="top" wrapText="1"/>
    </xf>
    <xf numFmtId="0" fontId="10" fillId="0" borderId="8" xfId="0" applyFont="1" applyFill="1" applyBorder="1" applyAlignment="1">
      <alignment/>
    </xf>
    <xf numFmtId="0" fontId="10" fillId="0" borderId="0" xfId="0" applyFont="1" applyFill="1" applyBorder="1" applyAlignment="1">
      <alignment/>
    </xf>
    <xf numFmtId="176" fontId="10" fillId="0" borderId="0" xfId="0" applyNumberFormat="1" applyFont="1" applyFill="1" applyBorder="1" applyAlignment="1">
      <alignment/>
    </xf>
    <xf numFmtId="176" fontId="10" fillId="0" borderId="7" xfId="0" applyNumberFormat="1" applyFont="1" applyFill="1" applyBorder="1" applyAlignment="1">
      <alignment/>
    </xf>
    <xf numFmtId="169" fontId="10" fillId="0" borderId="7" xfId="0" applyNumberFormat="1" applyFont="1" applyFill="1" applyBorder="1" applyAlignment="1">
      <alignment/>
    </xf>
    <xf numFmtId="0" fontId="10" fillId="0" borderId="9" xfId="0" applyFont="1" applyFill="1" applyBorder="1" applyAlignment="1">
      <alignment/>
    </xf>
    <xf numFmtId="0" fontId="10" fillId="0" borderId="1" xfId="0" applyFont="1" applyFill="1" applyBorder="1" applyAlignment="1">
      <alignment/>
    </xf>
    <xf numFmtId="176" fontId="10" fillId="0" borderId="6" xfId="0" applyNumberFormat="1" applyFont="1" applyFill="1" applyBorder="1" applyAlignment="1">
      <alignment/>
    </xf>
    <xf numFmtId="176" fontId="10" fillId="0" borderId="15" xfId="0" applyNumberFormat="1" applyFont="1" applyFill="1" applyBorder="1" applyAlignment="1">
      <alignment/>
    </xf>
    <xf numFmtId="0" fontId="10" fillId="0" borderId="9" xfId="0" applyFont="1" applyFill="1" applyBorder="1" applyAlignment="1">
      <alignment horizontal="left" vertical="top" wrapText="1"/>
    </xf>
    <xf numFmtId="0" fontId="10" fillId="0" borderId="14"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6" xfId="0" applyFont="1" applyFill="1" applyBorder="1" applyAlignment="1">
      <alignment horizontal="left" vertical="top" wrapText="1"/>
    </xf>
    <xf numFmtId="37" fontId="10" fillId="0" borderId="7" xfId="15" applyNumberFormat="1" applyFont="1" applyFill="1" applyBorder="1" applyAlignment="1">
      <alignment horizontal="right" vertical="top" wrapText="1"/>
    </xf>
    <xf numFmtId="43" fontId="10" fillId="0" borderId="7" xfId="15" applyFont="1" applyFill="1" applyBorder="1" applyAlignment="1">
      <alignment horizontal="righ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43" fontId="10" fillId="0" borderId="7" xfId="15" applyFont="1" applyFill="1" applyBorder="1" applyAlignment="1">
      <alignment horizontal="center" vertical="top" wrapText="1"/>
    </xf>
    <xf numFmtId="0" fontId="10" fillId="0" borderId="15" xfId="0" applyFont="1" applyFill="1" applyBorder="1" applyAlignment="1">
      <alignment/>
    </xf>
    <xf numFmtId="37" fontId="10" fillId="0" borderId="9" xfId="0" applyNumberFormat="1" applyFont="1" applyFill="1" applyBorder="1" applyAlignment="1">
      <alignment vertical="top" wrapText="1"/>
    </xf>
    <xf numFmtId="37" fontId="10" fillId="0" borderId="10" xfId="0" applyNumberFormat="1" applyFont="1" applyFill="1" applyBorder="1" applyAlignment="1">
      <alignment vertical="top" wrapText="1"/>
    </xf>
    <xf numFmtId="37" fontId="10" fillId="0" borderId="0" xfId="0" applyNumberFormat="1" applyFont="1" applyFill="1" applyBorder="1" applyAlignment="1">
      <alignment vertical="top" wrapText="1"/>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Alignment="1">
      <alignment horizontal="center" vertical="top" wrapText="1"/>
    </xf>
    <xf numFmtId="0" fontId="8" fillId="0" borderId="0" xfId="0" applyNumberFormat="1" applyFont="1" applyFill="1" applyAlignment="1" quotePrefix="1">
      <alignment horizontal="center" vertical="top"/>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xf>
    <xf numFmtId="0" fontId="10" fillId="0" borderId="7" xfId="0" applyFont="1" applyFill="1" applyBorder="1" applyAlignment="1">
      <alignment/>
    </xf>
    <xf numFmtId="0" fontId="10" fillId="0" borderId="5" xfId="0" applyFont="1" applyFill="1" applyBorder="1" applyAlignment="1">
      <alignment/>
    </xf>
    <xf numFmtId="3" fontId="10" fillId="0" borderId="8" xfId="0" applyNumberFormat="1" applyFont="1" applyFill="1" applyBorder="1" applyAlignment="1">
      <alignment horizontal="right"/>
    </xf>
    <xf numFmtId="4" fontId="10" fillId="0" borderId="7" xfId="0" applyNumberFormat="1" applyFont="1" applyFill="1" applyBorder="1" applyAlignment="1">
      <alignment horizontal="center"/>
    </xf>
    <xf numFmtId="0" fontId="10" fillId="0" borderId="1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6" xfId="0" applyFont="1" applyFill="1" applyBorder="1" applyAlignment="1">
      <alignment/>
    </xf>
    <xf numFmtId="0" fontId="8" fillId="0" borderId="0" xfId="0" applyFont="1" applyFill="1" applyAlignment="1">
      <alignment horizontal="right" vertical="top"/>
    </xf>
    <xf numFmtId="0" fontId="8" fillId="0" borderId="0" xfId="0" applyFont="1" applyFill="1" applyAlignment="1">
      <alignment horizontal="center" vertical="top" wrapText="1"/>
    </xf>
    <xf numFmtId="3" fontId="10" fillId="0" borderId="0" xfId="0" applyNumberFormat="1" applyFont="1" applyFill="1" applyAlignment="1">
      <alignment horizontal="right" vertical="top" wrapText="1"/>
    </xf>
    <xf numFmtId="177" fontId="10" fillId="0" borderId="16" xfId="15" applyNumberFormat="1" applyFont="1" applyFill="1" applyBorder="1" applyAlignment="1" quotePrefix="1">
      <alignment horizontal="center"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177" fontId="10" fillId="0" borderId="0" xfId="15" applyNumberFormat="1" applyFont="1" applyFill="1" applyAlignment="1" quotePrefix="1">
      <alignment/>
    </xf>
    <xf numFmtId="177" fontId="10" fillId="0" borderId="0" xfId="15" applyNumberFormat="1" applyFont="1" applyFill="1" applyAlignment="1">
      <alignment/>
    </xf>
    <xf numFmtId="177" fontId="10" fillId="0" borderId="0" xfId="0" applyNumberFormat="1" applyFont="1" applyFill="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vertical="center" wrapText="1"/>
    </xf>
    <xf numFmtId="37" fontId="10" fillId="0" borderId="0" xfId="15" applyNumberFormat="1" applyFont="1" applyFill="1" applyAlignment="1">
      <alignment horizontal="center" vertical="top" wrapText="1"/>
    </xf>
    <xf numFmtId="37" fontId="10" fillId="0" borderId="0" xfId="15" applyNumberFormat="1" applyFont="1" applyFill="1" applyAlignment="1">
      <alignment horizontal="right"/>
    </xf>
    <xf numFmtId="37" fontId="10" fillId="0" borderId="0" xfId="15" applyNumberFormat="1" applyFont="1" applyFill="1" applyAlignment="1">
      <alignment horizontal="right" vertical="top" wrapText="1"/>
    </xf>
    <xf numFmtId="177" fontId="10" fillId="0" borderId="0" xfId="15" applyNumberFormat="1" applyFont="1" applyFill="1" applyAlignment="1" quotePrefix="1">
      <alignment horizontal="right"/>
    </xf>
    <xf numFmtId="37" fontId="10" fillId="0" borderId="0" xfId="0" applyNumberFormat="1" applyFont="1" applyFill="1" applyAlignment="1">
      <alignment horizontal="right"/>
    </xf>
    <xf numFmtId="43" fontId="10" fillId="0" borderId="0" xfId="15" applyFont="1" applyFill="1" applyAlignment="1">
      <alignment horizontal="right"/>
    </xf>
    <xf numFmtId="43" fontId="10" fillId="0" borderId="0" xfId="15" applyFont="1" applyFill="1" applyAlignment="1">
      <alignment/>
    </xf>
    <xf numFmtId="177" fontId="10" fillId="0" borderId="0" xfId="15" applyNumberFormat="1" applyFont="1" applyFill="1" applyAlignment="1">
      <alignment horizontal="center" vertical="top" wrapText="1"/>
    </xf>
    <xf numFmtId="177" fontId="10" fillId="0" borderId="1" xfId="15" applyNumberFormat="1" applyFont="1" applyFill="1" applyBorder="1" applyAlignment="1">
      <alignment horizontal="right" vertical="top" wrapText="1"/>
    </xf>
    <xf numFmtId="37" fontId="10" fillId="0" borderId="0" xfId="0" applyNumberFormat="1" applyFont="1" applyFill="1" applyAlignment="1">
      <alignment horizontal="left" vertical="top" wrapText="1"/>
    </xf>
    <xf numFmtId="37" fontId="10" fillId="0" borderId="16" xfId="0" applyNumberFormat="1" applyFont="1" applyFill="1" applyBorder="1" applyAlignment="1">
      <alignment horizontal="right" vertical="top" wrapText="1"/>
    </xf>
    <xf numFmtId="177" fontId="10" fillId="0" borderId="0" xfId="15" applyNumberFormat="1" applyFont="1" applyFill="1" applyBorder="1" applyAlignment="1">
      <alignment horizontal="center" vertical="top" wrapText="1"/>
    </xf>
    <xf numFmtId="37" fontId="10" fillId="0" borderId="0" xfId="0" applyNumberFormat="1" applyFont="1" applyFill="1" applyBorder="1" applyAlignment="1">
      <alignment horizontal="right" vertical="top" wrapText="1"/>
    </xf>
    <xf numFmtId="0" fontId="10" fillId="0" borderId="3" xfId="0" applyFont="1" applyFill="1" applyBorder="1" applyAlignment="1">
      <alignment horizontal="center"/>
    </xf>
    <xf numFmtId="43" fontId="10" fillId="0" borderId="0" xfId="15" applyFont="1" applyFill="1" applyAlignment="1" quotePrefix="1">
      <alignment horizontal="center"/>
    </xf>
    <xf numFmtId="177" fontId="10" fillId="0" borderId="0" xfId="15" applyNumberFormat="1" applyFont="1" applyFill="1" applyAlignment="1">
      <alignment horizontal="center"/>
    </xf>
    <xf numFmtId="177" fontId="10" fillId="0" borderId="0" xfId="0" applyNumberFormat="1" applyFont="1" applyFill="1" applyAlignment="1">
      <alignment/>
    </xf>
    <xf numFmtId="178" fontId="10" fillId="0" borderId="0" xfId="15" applyNumberFormat="1" applyFont="1" applyFill="1" applyAlignment="1">
      <alignment horizontal="center"/>
    </xf>
    <xf numFmtId="178" fontId="10" fillId="0" borderId="0" xfId="15" applyNumberFormat="1" applyFont="1" applyFill="1" applyBorder="1" applyAlignment="1" quotePrefix="1">
      <alignment horizontal="center"/>
    </xf>
    <xf numFmtId="0" fontId="10" fillId="0" borderId="3" xfId="0" applyFont="1" applyFill="1" applyBorder="1" applyAlignment="1">
      <alignment/>
    </xf>
    <xf numFmtId="177" fontId="10" fillId="0" borderId="0" xfId="0" applyNumberFormat="1" applyFont="1" applyFill="1" applyBorder="1" applyAlignment="1">
      <alignment/>
    </xf>
    <xf numFmtId="37" fontId="10" fillId="0" borderId="0" xfId="15" applyNumberFormat="1" applyFont="1" applyFill="1" applyAlignment="1" quotePrefix="1">
      <alignment horizontal="right"/>
    </xf>
    <xf numFmtId="37" fontId="10" fillId="0" borderId="2" xfId="15" applyNumberFormat="1" applyFont="1" applyFill="1" applyBorder="1" applyAlignment="1">
      <alignment horizontal="right"/>
    </xf>
    <xf numFmtId="37" fontId="10" fillId="0" borderId="0" xfId="15" applyNumberFormat="1" applyFont="1" applyFill="1" applyBorder="1" applyAlignment="1">
      <alignment horizontal="right"/>
    </xf>
    <xf numFmtId="37" fontId="10" fillId="0" borderId="1" xfId="15" applyNumberFormat="1" applyFont="1" applyFill="1" applyBorder="1" applyAlignment="1">
      <alignment horizontal="right"/>
    </xf>
    <xf numFmtId="37" fontId="10" fillId="0" borderId="16" xfId="15" applyNumberFormat="1" applyFont="1" applyFill="1" applyBorder="1" applyAlignment="1">
      <alignment horizontal="right"/>
    </xf>
    <xf numFmtId="3" fontId="10" fillId="0" borderId="3" xfId="0" applyNumberFormat="1" applyFont="1" applyFill="1" applyBorder="1" applyAlignment="1">
      <alignment horizontal="right"/>
    </xf>
    <xf numFmtId="3" fontId="10" fillId="0" borderId="0" xfId="0" applyNumberFormat="1" applyFont="1" applyFill="1" applyBorder="1" applyAlignment="1">
      <alignment/>
    </xf>
    <xf numFmtId="0" fontId="14" fillId="0" borderId="0" xfId="0" applyFont="1" applyFill="1" applyAlignment="1">
      <alignment vertical="top"/>
    </xf>
    <xf numFmtId="0" fontId="14" fillId="0" borderId="0" xfId="0" applyFont="1" applyFill="1" applyAlignment="1">
      <alignment/>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3" fontId="10" fillId="0" borderId="0" xfId="0" applyNumberFormat="1" applyFont="1" applyFill="1" applyAlignment="1">
      <alignment horizontal="center" vertical="center"/>
    </xf>
    <xf numFmtId="3"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3" fontId="10" fillId="0" borderId="16" xfId="0" applyNumberFormat="1" applyFont="1" applyFill="1" applyBorder="1" applyAlignment="1">
      <alignment horizontal="center" vertical="center" wrapText="1"/>
    </xf>
    <xf numFmtId="0" fontId="10" fillId="0" borderId="0" xfId="0" applyFont="1" applyFill="1" applyAlignment="1">
      <alignment vertical="top"/>
    </xf>
    <xf numFmtId="3" fontId="10" fillId="0" borderId="0" xfId="0" applyNumberFormat="1" applyFont="1" applyFill="1" applyAlignment="1">
      <alignment/>
    </xf>
    <xf numFmtId="3" fontId="10" fillId="0" borderId="16" xfId="0" applyNumberFormat="1" applyFont="1" applyFill="1" applyBorder="1" applyAlignment="1">
      <alignment/>
    </xf>
    <xf numFmtId="0" fontId="8" fillId="0" borderId="14"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8" xfId="0" applyFont="1" applyFill="1" applyBorder="1" applyAlignment="1">
      <alignment horizontal="center" vertical="top" wrapText="1"/>
    </xf>
    <xf numFmtId="0" fontId="10" fillId="0" borderId="15" xfId="0" applyFont="1" applyFill="1" applyBorder="1" applyAlignment="1">
      <alignment vertical="top" wrapText="1"/>
    </xf>
    <xf numFmtId="0" fontId="10" fillId="0" borderId="5"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8" xfId="0" applyFont="1" applyFill="1" applyBorder="1" applyAlignment="1">
      <alignment vertical="top" wrapText="1"/>
    </xf>
    <xf numFmtId="3" fontId="10" fillId="0" borderId="17"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37" fontId="10" fillId="0" borderId="5" xfId="0" applyNumberFormat="1" applyFont="1" applyFill="1" applyBorder="1" applyAlignment="1">
      <alignment horizontal="center" vertical="top" wrapText="1"/>
    </xf>
    <xf numFmtId="37" fontId="10" fillId="0" borderId="0" xfId="0" applyNumberFormat="1" applyFont="1" applyFill="1" applyBorder="1" applyAlignment="1">
      <alignment horizontal="center" vertical="top" wrapText="1"/>
    </xf>
    <xf numFmtId="37" fontId="10" fillId="0" borderId="7" xfId="0" applyNumberFormat="1" applyFont="1" applyFill="1" applyBorder="1" applyAlignment="1">
      <alignment horizontal="center" vertical="top" wrapText="1"/>
    </xf>
    <xf numFmtId="0" fontId="10" fillId="0" borderId="9" xfId="0" applyFont="1" applyFill="1" applyBorder="1" applyAlignment="1">
      <alignment vertical="top" wrapText="1"/>
    </xf>
    <xf numFmtId="3" fontId="10" fillId="0" borderId="9" xfId="0" applyNumberFormat="1" applyFont="1" applyFill="1" applyBorder="1" applyAlignment="1">
      <alignment horizontal="right" vertical="top" wrapText="1"/>
    </xf>
    <xf numFmtId="37" fontId="10" fillId="0" borderId="10" xfId="0" applyNumberFormat="1" applyFont="1" applyFill="1" applyBorder="1" applyAlignment="1">
      <alignment horizontal="center" vertical="top" wrapText="1"/>
    </xf>
    <xf numFmtId="0" fontId="10" fillId="0" borderId="0" xfId="0" applyFont="1" applyFill="1" applyBorder="1" applyAlignment="1">
      <alignment vertical="top" wrapText="1"/>
    </xf>
    <xf numFmtId="3" fontId="10" fillId="0" borderId="0" xfId="0" applyNumberFormat="1" applyFont="1" applyFill="1" applyBorder="1" applyAlignment="1">
      <alignment horizontal="right" vertical="top" wrapText="1"/>
    </xf>
    <xf numFmtId="0" fontId="10" fillId="0" borderId="0" xfId="0" applyNumberFormat="1" applyFont="1" applyFill="1" applyAlignment="1">
      <alignment horizontal="right" vertical="top"/>
    </xf>
    <xf numFmtId="37" fontId="10" fillId="0" borderId="15" xfId="0" applyNumberFormat="1" applyFont="1" applyFill="1" applyBorder="1" applyAlignment="1">
      <alignment horizontal="center" vertical="top" wrapText="1"/>
    </xf>
    <xf numFmtId="0" fontId="10" fillId="0" borderId="0" xfId="0" applyFont="1" applyFill="1" applyAlignment="1">
      <alignment wrapText="1"/>
    </xf>
    <xf numFmtId="0" fontId="8" fillId="0" borderId="0" xfId="0" applyNumberFormat="1" applyFont="1" applyFill="1" applyAlignment="1">
      <alignment horizontal="right" vertical="top" wrapText="1"/>
    </xf>
    <xf numFmtId="0" fontId="8" fillId="0" borderId="0" xfId="0" applyFont="1" applyFill="1" applyAlignment="1">
      <alignment wrapText="1"/>
    </xf>
    <xf numFmtId="0" fontId="8" fillId="0" borderId="0" xfId="0" applyNumberFormat="1" applyFont="1" applyFill="1" applyAlignment="1" quotePrefix="1">
      <alignment horizontal="center" vertical="top" wrapText="1"/>
    </xf>
    <xf numFmtId="0" fontId="10" fillId="0" borderId="0" xfId="0" applyNumberFormat="1" applyFont="1" applyFill="1" applyAlignment="1">
      <alignment horizontal="left" vertical="top" wrapText="1"/>
    </xf>
    <xf numFmtId="0" fontId="10" fillId="0" borderId="0" xfId="0" applyNumberFormat="1" applyFont="1" applyFill="1" applyAlignment="1" quotePrefix="1">
      <alignment horizontal="left" vertical="top" wrapText="1"/>
    </xf>
    <xf numFmtId="0" fontId="10" fillId="0" borderId="0" xfId="0" applyNumberFormat="1" applyFont="1" applyFill="1" applyAlignment="1">
      <alignment horizontal="center" vertical="top" wrapText="1"/>
    </xf>
    <xf numFmtId="0" fontId="10" fillId="0" borderId="0" xfId="0" applyFont="1" applyFill="1" applyAlignment="1">
      <alignment horizontal="left" vertical="justify"/>
    </xf>
    <xf numFmtId="0" fontId="16" fillId="0" borderId="0" xfId="0" applyFont="1" applyFill="1" applyAlignment="1">
      <alignment horizontal="justify"/>
    </xf>
    <xf numFmtId="49" fontId="10" fillId="0" borderId="0" xfId="0" applyNumberFormat="1" applyFont="1" applyFill="1" applyAlignment="1">
      <alignment/>
    </xf>
    <xf numFmtId="15" fontId="10" fillId="0" borderId="0" xfId="0" applyNumberFormat="1" applyFont="1" applyFill="1" applyAlignment="1">
      <alignment/>
    </xf>
    <xf numFmtId="0" fontId="10" fillId="0" borderId="0" xfId="0" applyNumberFormat="1" applyFont="1" applyFill="1" applyAlignment="1">
      <alignment horizontal="right" vertical="top" wrapText="1"/>
    </xf>
    <xf numFmtId="0" fontId="8" fillId="0" borderId="0" xfId="0" applyNumberFormat="1" applyFont="1" applyFill="1" applyAlignment="1">
      <alignment horizontal="right" vertical="top"/>
    </xf>
    <xf numFmtId="0" fontId="10" fillId="0" borderId="0" xfId="0" applyFont="1" applyFill="1" applyAlignment="1" quotePrefix="1">
      <alignment horizontal="center"/>
    </xf>
    <xf numFmtId="0" fontId="17" fillId="0" borderId="0" xfId="0" applyFont="1" applyFill="1" applyAlignment="1">
      <alignment horizontal="left" vertical="top" wrapText="1"/>
    </xf>
    <xf numFmtId="0" fontId="17" fillId="0" borderId="0" xfId="0" applyFont="1" applyFill="1" applyAlignment="1">
      <alignment/>
    </xf>
    <xf numFmtId="0" fontId="6" fillId="0" borderId="0" xfId="0" applyFont="1" applyFill="1" applyAlignment="1">
      <alignment/>
    </xf>
    <xf numFmtId="0" fontId="8" fillId="0" borderId="0" xfId="0" applyFont="1" applyFill="1" applyAlignment="1">
      <alignment horizontal="left" vertical="justify"/>
    </xf>
    <xf numFmtId="0" fontId="8" fillId="0" borderId="0" xfId="0" applyNumberFormat="1" applyFont="1" applyFill="1" applyAlignment="1" quotePrefix="1">
      <alignment horizontal="right" vertical="top" wrapText="1"/>
    </xf>
    <xf numFmtId="43" fontId="2" fillId="0" borderId="19" xfId="15" applyFont="1" applyFill="1" applyBorder="1" applyAlignment="1">
      <alignment horizontal="right"/>
    </xf>
    <xf numFmtId="43" fontId="1" fillId="0" borderId="19" xfId="15" applyFont="1" applyFill="1" applyBorder="1" applyAlignment="1">
      <alignment horizontal="right"/>
    </xf>
    <xf numFmtId="43" fontId="1" fillId="0" borderId="20" xfId="15" applyFont="1" applyFill="1" applyBorder="1" applyAlignment="1">
      <alignment horizontal="right"/>
    </xf>
    <xf numFmtId="178" fontId="1" fillId="0" borderId="0" xfId="0" applyNumberFormat="1" applyFont="1" applyFill="1" applyBorder="1" applyAlignment="1">
      <alignment/>
    </xf>
    <xf numFmtId="0" fontId="8" fillId="0" borderId="15" xfId="0" applyFont="1" applyFill="1" applyBorder="1" applyAlignment="1">
      <alignment horizontal="center"/>
    </xf>
    <xf numFmtId="0" fontId="8" fillId="0" borderId="7" xfId="0" applyFont="1" applyFill="1" applyBorder="1" applyAlignment="1">
      <alignment horizontal="center"/>
    </xf>
    <xf numFmtId="43" fontId="10" fillId="0" borderId="10" xfId="15" applyFont="1" applyFill="1" applyBorder="1" applyAlignment="1">
      <alignment horizontal="center" vertical="top" wrapText="1"/>
    </xf>
    <xf numFmtId="177" fontId="10" fillId="0" borderId="0" xfId="15" applyNumberFormat="1" applyFont="1" applyFill="1" applyAlignment="1" quotePrefix="1">
      <alignment horizontal="center" vertical="top" wrapText="1"/>
    </xf>
    <xf numFmtId="177" fontId="10" fillId="0" borderId="1" xfId="15" applyNumberFormat="1" applyFont="1" applyFill="1" applyBorder="1" applyAlignment="1">
      <alignment horizontal="center" vertical="top" wrapText="1"/>
    </xf>
    <xf numFmtId="178" fontId="19" fillId="0" borderId="0" xfId="17" applyNumberFormat="1" applyFont="1" applyFill="1" applyAlignment="1">
      <alignment horizontal="center"/>
    </xf>
    <xf numFmtId="178" fontId="19" fillId="0" borderId="0" xfId="15" applyNumberFormat="1" applyFont="1" applyFill="1" applyBorder="1" applyAlignment="1">
      <alignment horizontal="center"/>
    </xf>
    <xf numFmtId="178" fontId="19" fillId="0" borderId="0" xfId="17" applyNumberFormat="1" applyFont="1" applyFill="1" applyAlignment="1" quotePrefix="1">
      <alignment horizontal="center"/>
    </xf>
    <xf numFmtId="37" fontId="20" fillId="0" borderId="0" xfId="15" applyNumberFormat="1" applyFont="1" applyFill="1" applyBorder="1" applyAlignment="1">
      <alignment/>
    </xf>
    <xf numFmtId="37" fontId="20" fillId="0" borderId="0" xfId="17" applyNumberFormat="1" applyFont="1" applyFill="1" applyBorder="1" applyAlignment="1">
      <alignment/>
    </xf>
    <xf numFmtId="37" fontId="20" fillId="0" borderId="0" xfId="17" applyNumberFormat="1" applyFont="1" applyFill="1" applyAlignment="1">
      <alignment/>
    </xf>
    <xf numFmtId="37" fontId="20" fillId="0" borderId="16" xfId="17" applyNumberFormat="1" applyFont="1" applyFill="1" applyBorder="1" applyAlignment="1">
      <alignment/>
    </xf>
    <xf numFmtId="37" fontId="20" fillId="0" borderId="16" xfId="15" applyNumberFormat="1" applyFont="1" applyFill="1" applyBorder="1" applyAlignment="1">
      <alignment/>
    </xf>
    <xf numFmtId="0" fontId="10" fillId="0" borderId="0" xfId="0" applyFont="1" applyFill="1" applyAlignment="1">
      <alignment horizontal="justify" vertical="top" wrapText="1"/>
    </xf>
    <xf numFmtId="0" fontId="23" fillId="0" borderId="0" xfId="0" applyFont="1" applyFill="1" applyAlignment="1">
      <alignment/>
    </xf>
    <xf numFmtId="178" fontId="2" fillId="0" borderId="0" xfId="0" applyNumberFormat="1" applyFont="1" applyFill="1" applyBorder="1" applyAlignment="1">
      <alignment/>
    </xf>
    <xf numFmtId="178" fontId="2" fillId="0" borderId="0" xfId="0" applyNumberFormat="1" applyFont="1" applyFill="1" applyBorder="1" applyAlignment="1">
      <alignment/>
    </xf>
    <xf numFmtId="37" fontId="1" fillId="0" borderId="0" xfId="15" applyNumberFormat="1" applyFont="1" applyFill="1" applyAlignment="1">
      <alignment horizontal="center"/>
    </xf>
    <xf numFmtId="37" fontId="2" fillId="0" borderId="0" xfId="15" applyNumberFormat="1" applyFont="1" applyFill="1" applyAlignment="1" quotePrefix="1">
      <alignment horizontal="center"/>
    </xf>
    <xf numFmtId="0" fontId="19" fillId="0" borderId="0" xfId="22" applyFont="1" applyFill="1" applyAlignment="1" quotePrefix="1">
      <alignment horizontal="center"/>
      <protection/>
    </xf>
    <xf numFmtId="3" fontId="1" fillId="0" borderId="0" xfId="0" applyNumberFormat="1" applyFont="1" applyFill="1" applyAlignment="1">
      <alignment/>
    </xf>
    <xf numFmtId="37" fontId="10" fillId="0" borderId="8" xfId="0" applyNumberFormat="1" applyFont="1" applyFill="1" applyBorder="1" applyAlignment="1">
      <alignment horizontal="right" vertical="top" wrapText="1"/>
    </xf>
    <xf numFmtId="37" fontId="10" fillId="0" borderId="7" xfId="0" applyNumberFormat="1" applyFont="1" applyFill="1" applyBorder="1" applyAlignment="1">
      <alignment horizontal="right" vertical="top" wrapText="1"/>
    </xf>
    <xf numFmtId="37" fontId="10" fillId="0" borderId="9" xfId="0" applyNumberFormat="1" applyFont="1" applyFill="1" applyBorder="1" applyAlignment="1">
      <alignment horizontal="right" vertical="top" wrapText="1"/>
    </xf>
    <xf numFmtId="37" fontId="10" fillId="0" borderId="1" xfId="0" applyNumberFormat="1" applyFont="1" applyFill="1" applyBorder="1" applyAlignment="1">
      <alignment horizontal="right" vertical="top" wrapText="1"/>
    </xf>
    <xf numFmtId="37" fontId="10" fillId="0" borderId="12" xfId="15" applyNumberFormat="1" applyFont="1" applyFill="1" applyBorder="1" applyAlignment="1">
      <alignment horizontal="right" vertical="top" wrapText="1"/>
    </xf>
    <xf numFmtId="37" fontId="10" fillId="0" borderId="0" xfId="0" applyNumberFormat="1" applyFont="1" applyFill="1" applyAlignment="1">
      <alignment horizontal="right" vertical="top" wrapText="1"/>
    </xf>
    <xf numFmtId="37" fontId="10" fillId="0" borderId="12" xfId="0" applyNumberFormat="1" applyFont="1" applyFill="1" applyBorder="1" applyAlignment="1">
      <alignment horizontal="right" vertical="top" wrapText="1"/>
    </xf>
    <xf numFmtId="37" fontId="10" fillId="0" borderId="1" xfId="15" applyNumberFormat="1" applyFont="1" applyFill="1" applyBorder="1" applyAlignment="1">
      <alignment horizontal="right" vertical="top" wrapText="1"/>
    </xf>
    <xf numFmtId="37" fontId="10" fillId="0" borderId="0" xfId="15" applyNumberFormat="1" applyFont="1" applyFill="1" applyBorder="1" applyAlignment="1">
      <alignment horizontal="right" vertical="top" wrapText="1"/>
    </xf>
    <xf numFmtId="37" fontId="10" fillId="0" borderId="3" xfId="0" applyNumberFormat="1" applyFont="1" applyFill="1" applyBorder="1" applyAlignment="1">
      <alignment horizontal="right" vertical="top" wrapText="1"/>
    </xf>
    <xf numFmtId="39" fontId="10" fillId="0" borderId="0" xfId="15" applyNumberFormat="1" applyFont="1" applyFill="1" applyBorder="1" applyAlignment="1">
      <alignment horizontal="right" vertical="top" wrapText="1"/>
    </xf>
    <xf numFmtId="39" fontId="10" fillId="0" borderId="0" xfId="15" applyNumberFormat="1" applyFont="1" applyFill="1" applyAlignment="1">
      <alignment horizontal="right" vertical="top" wrapText="1"/>
    </xf>
    <xf numFmtId="0" fontId="2" fillId="0" borderId="14"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1" fillId="0" borderId="8" xfId="0" applyFont="1" applyFill="1" applyBorder="1" applyAlignment="1">
      <alignment/>
    </xf>
    <xf numFmtId="0" fontId="1" fillId="0" borderId="15" xfId="0" applyFont="1" applyFill="1" applyBorder="1" applyAlignment="1">
      <alignment/>
    </xf>
    <xf numFmtId="178" fontId="1" fillId="0" borderId="8" xfId="0" applyNumberFormat="1" applyFont="1" applyFill="1" applyBorder="1" applyAlignment="1">
      <alignment/>
    </xf>
    <xf numFmtId="0" fontId="18" fillId="0" borderId="0" xfId="0" applyFont="1" applyFill="1" applyAlignment="1">
      <alignment horizontal="center"/>
    </xf>
    <xf numFmtId="178" fontId="1" fillId="0" borderId="7" xfId="0" applyNumberFormat="1" applyFont="1" applyFill="1" applyBorder="1" applyAlignment="1">
      <alignment/>
    </xf>
    <xf numFmtId="178" fontId="1" fillId="0" borderId="9" xfId="0" applyNumberFormat="1" applyFont="1" applyFill="1" applyBorder="1" applyAlignment="1">
      <alignment/>
    </xf>
    <xf numFmtId="178" fontId="1" fillId="0" borderId="10" xfId="0" applyNumberFormat="1" applyFont="1" applyFill="1" applyBorder="1" applyAlignment="1">
      <alignment/>
    </xf>
    <xf numFmtId="178" fontId="2" fillId="0" borderId="8" xfId="0" applyNumberFormat="1" applyFont="1" applyFill="1" applyBorder="1" applyAlignment="1">
      <alignment/>
    </xf>
    <xf numFmtId="178" fontId="2" fillId="0" borderId="7" xfId="0" applyNumberFormat="1" applyFont="1" applyFill="1" applyBorder="1" applyAlignment="1">
      <alignment/>
    </xf>
    <xf numFmtId="178" fontId="2" fillId="0" borderId="9" xfId="0" applyNumberFormat="1" applyFont="1" applyFill="1" applyBorder="1" applyAlignment="1">
      <alignment/>
    </xf>
    <xf numFmtId="178" fontId="2" fillId="0" borderId="8" xfId="0" applyNumberFormat="1" applyFont="1" applyFill="1" applyBorder="1" applyAlignment="1">
      <alignment/>
    </xf>
    <xf numFmtId="178" fontId="2" fillId="0" borderId="7" xfId="0" applyNumberFormat="1" applyFont="1" applyFill="1" applyBorder="1" applyAlignment="1">
      <alignment/>
    </xf>
    <xf numFmtId="178" fontId="2" fillId="0" borderId="17" xfId="0" applyNumberFormat="1" applyFont="1" applyFill="1" applyBorder="1" applyAlignment="1">
      <alignment/>
    </xf>
    <xf numFmtId="178" fontId="2" fillId="0" borderId="18" xfId="0" applyNumberFormat="1" applyFont="1" applyFill="1" applyBorder="1" applyAlignment="1">
      <alignment/>
    </xf>
    <xf numFmtId="178" fontId="2" fillId="0" borderId="19" xfId="0" applyNumberFormat="1" applyFont="1" applyFill="1" applyBorder="1" applyAlignment="1">
      <alignment/>
    </xf>
    <xf numFmtId="178" fontId="1" fillId="0" borderId="19" xfId="0" applyNumberFormat="1" applyFont="1" applyFill="1" applyBorder="1" applyAlignment="1">
      <alignment/>
    </xf>
    <xf numFmtId="178" fontId="1" fillId="0" borderId="20" xfId="0" applyNumberFormat="1" applyFont="1" applyFill="1" applyBorder="1" applyAlignment="1">
      <alignment/>
    </xf>
    <xf numFmtId="0" fontId="21" fillId="0" borderId="0" xfId="0" applyFont="1" applyFill="1" applyAlignment="1">
      <alignment/>
    </xf>
    <xf numFmtId="0" fontId="21" fillId="0" borderId="0" xfId="0" applyFont="1" applyFill="1" applyBorder="1" applyAlignment="1">
      <alignment/>
    </xf>
    <xf numFmtId="0" fontId="18" fillId="0" borderId="0" xfId="0" applyFont="1" applyFill="1" applyAlignment="1">
      <alignment/>
    </xf>
    <xf numFmtId="37" fontId="21" fillId="0" borderId="0" xfId="15" applyNumberFormat="1" applyFont="1" applyFill="1" applyAlignment="1">
      <alignment/>
    </xf>
    <xf numFmtId="0" fontId="21" fillId="0" borderId="0" xfId="0" applyFont="1" applyFill="1" applyAlignment="1">
      <alignment horizontal="right"/>
    </xf>
    <xf numFmtId="37" fontId="18" fillId="0" borderId="0" xfId="15" applyNumberFormat="1" applyFont="1" applyFill="1" applyAlignment="1">
      <alignment horizontal="center"/>
    </xf>
    <xf numFmtId="0" fontId="21" fillId="0" borderId="0" xfId="0" applyFont="1" applyFill="1" applyBorder="1" applyAlignment="1">
      <alignment horizontal="center"/>
    </xf>
    <xf numFmtId="0" fontId="22" fillId="0" borderId="0" xfId="0" applyFont="1" applyFill="1" applyAlignment="1">
      <alignment/>
    </xf>
    <xf numFmtId="176" fontId="21" fillId="0" borderId="0" xfId="0" applyNumberFormat="1" applyFont="1" applyFill="1" applyBorder="1" applyAlignment="1">
      <alignment/>
    </xf>
    <xf numFmtId="37" fontId="21" fillId="0" borderId="12" xfId="15" applyNumberFormat="1" applyFont="1" applyFill="1" applyBorder="1" applyAlignment="1">
      <alignment/>
    </xf>
    <xf numFmtId="176" fontId="21" fillId="0" borderId="12" xfId="0" applyNumberFormat="1" applyFont="1" applyFill="1" applyBorder="1" applyAlignment="1">
      <alignment/>
    </xf>
    <xf numFmtId="37" fontId="21" fillId="0" borderId="2" xfId="15" applyNumberFormat="1" applyFont="1" applyFill="1" applyBorder="1" applyAlignment="1">
      <alignment/>
    </xf>
    <xf numFmtId="176" fontId="21" fillId="0" borderId="2" xfId="0" applyNumberFormat="1" applyFont="1" applyFill="1" applyBorder="1" applyAlignment="1">
      <alignment/>
    </xf>
    <xf numFmtId="37" fontId="21" fillId="0" borderId="1" xfId="15" applyNumberFormat="1" applyFont="1" applyFill="1" applyBorder="1" applyAlignment="1">
      <alignment/>
    </xf>
    <xf numFmtId="176" fontId="21" fillId="0" borderId="1" xfId="0" applyNumberFormat="1" applyFont="1" applyFill="1" applyBorder="1" applyAlignment="1">
      <alignment/>
    </xf>
    <xf numFmtId="37" fontId="21" fillId="0" borderId="3" xfId="15" applyNumberFormat="1" applyFont="1" applyFill="1" applyBorder="1" applyAlignment="1">
      <alignment/>
    </xf>
    <xf numFmtId="176" fontId="21" fillId="0" borderId="3" xfId="0" applyNumberFormat="1" applyFont="1" applyFill="1" applyBorder="1" applyAlignment="1">
      <alignment/>
    </xf>
    <xf numFmtId="37" fontId="21" fillId="0" borderId="0" xfId="15" applyNumberFormat="1" applyFont="1" applyFill="1" applyBorder="1" applyAlignment="1">
      <alignment/>
    </xf>
    <xf numFmtId="37" fontId="21" fillId="0" borderId="0" xfId="0" applyNumberFormat="1" applyFont="1" applyFill="1" applyAlignment="1">
      <alignment/>
    </xf>
    <xf numFmtId="37" fontId="21" fillId="0" borderId="16" xfId="15" applyNumberFormat="1" applyFont="1" applyFill="1" applyBorder="1" applyAlignment="1">
      <alignment/>
    </xf>
    <xf numFmtId="176" fontId="21" fillId="0" borderId="16" xfId="0" applyNumberFormat="1" applyFont="1" applyFill="1" applyBorder="1" applyAlignment="1">
      <alignment/>
    </xf>
    <xf numFmtId="177" fontId="18" fillId="0" borderId="0" xfId="15" applyNumberFormat="1" applyFont="1" applyFill="1" applyAlignment="1">
      <alignment/>
    </xf>
    <xf numFmtId="37" fontId="18" fillId="0" borderId="0" xfId="15" applyNumberFormat="1" applyFont="1" applyFill="1" applyAlignment="1">
      <alignment/>
    </xf>
    <xf numFmtId="0" fontId="21" fillId="0" borderId="0" xfId="0" applyFont="1" applyFill="1" applyAlignment="1">
      <alignment horizontal="left"/>
    </xf>
    <xf numFmtId="174" fontId="21" fillId="0" borderId="0" xfId="0" applyNumberFormat="1" applyFont="1" applyFill="1" applyBorder="1" applyAlignment="1">
      <alignment/>
    </xf>
    <xf numFmtId="37" fontId="1" fillId="0" borderId="0" xfId="15" applyNumberFormat="1" applyFont="1" applyFill="1" applyAlignment="1">
      <alignment horizontal="right"/>
    </xf>
    <xf numFmtId="37" fontId="1" fillId="0" borderId="1" xfId="15" applyNumberFormat="1" applyFont="1" applyFill="1" applyBorder="1" applyAlignment="1">
      <alignment horizontal="right"/>
    </xf>
    <xf numFmtId="37" fontId="1" fillId="0" borderId="14" xfId="15" applyNumberFormat="1" applyFont="1" applyFill="1" applyBorder="1" applyAlignment="1">
      <alignment/>
    </xf>
    <xf numFmtId="37" fontId="1" fillId="0" borderId="8" xfId="15" applyNumberFormat="1" applyFont="1" applyFill="1" applyBorder="1" applyAlignment="1">
      <alignment/>
    </xf>
    <xf numFmtId="37" fontId="1" fillId="0" borderId="9" xfId="15" applyNumberFormat="1" applyFont="1" applyFill="1" applyBorder="1" applyAlignment="1">
      <alignment/>
    </xf>
    <xf numFmtId="43" fontId="1" fillId="0" borderId="0" xfId="15" applyFont="1" applyFill="1" applyAlignment="1">
      <alignment/>
    </xf>
    <xf numFmtId="37" fontId="2" fillId="0" borderId="0" xfId="15" applyNumberFormat="1" applyFont="1" applyFill="1" applyAlignment="1">
      <alignment/>
    </xf>
    <xf numFmtId="37" fontId="2" fillId="0" borderId="0" xfId="15" applyNumberFormat="1" applyFont="1" applyFill="1" applyAlignment="1">
      <alignment horizontal="center"/>
    </xf>
    <xf numFmtId="37" fontId="2" fillId="0" borderId="0" xfId="15" applyNumberFormat="1" applyFont="1" applyFill="1" applyAlignment="1">
      <alignment horizontal="right"/>
    </xf>
    <xf numFmtId="43" fontId="1" fillId="0" borderId="1" xfId="15" applyFont="1" applyFill="1" applyBorder="1" applyAlignment="1">
      <alignment horizontal="right"/>
    </xf>
    <xf numFmtId="37" fontId="1" fillId="0" borderId="2" xfId="15" applyNumberFormat="1" applyFont="1" applyFill="1" applyBorder="1" applyAlignment="1">
      <alignment/>
    </xf>
    <xf numFmtId="43" fontId="1" fillId="0" borderId="4" xfId="15" applyFont="1" applyFill="1" applyBorder="1" applyAlignment="1">
      <alignment/>
    </xf>
    <xf numFmtId="43" fontId="1" fillId="0" borderId="5" xfId="15" applyFont="1" applyFill="1" applyBorder="1" applyAlignment="1">
      <alignment/>
    </xf>
    <xf numFmtId="37" fontId="1" fillId="0" borderId="5" xfId="15" applyNumberFormat="1" applyFont="1" applyFill="1" applyBorder="1" applyAlignment="1">
      <alignment/>
    </xf>
    <xf numFmtId="43" fontId="1" fillId="0" borderId="6" xfId="15" applyFont="1" applyFill="1" applyBorder="1" applyAlignment="1">
      <alignment/>
    </xf>
    <xf numFmtId="177" fontId="1" fillId="0" borderId="0" xfId="15" applyNumberFormat="1" applyFont="1" applyFill="1" applyAlignment="1">
      <alignment/>
    </xf>
    <xf numFmtId="177" fontId="2" fillId="0" borderId="0" xfId="15" applyNumberFormat="1" applyFont="1" applyFill="1" applyAlignment="1">
      <alignment/>
    </xf>
    <xf numFmtId="0" fontId="20" fillId="0" borderId="0" xfId="0" applyFont="1" applyFill="1" applyAlignment="1">
      <alignment/>
    </xf>
    <xf numFmtId="37" fontId="19" fillId="0" borderId="0" xfId="15" applyNumberFormat="1" applyFont="1" applyFill="1" applyAlignment="1">
      <alignment/>
    </xf>
    <xf numFmtId="171" fontId="20" fillId="0" borderId="0" xfId="17" applyFont="1" applyFill="1" applyAlignment="1">
      <alignment/>
    </xf>
    <xf numFmtId="0" fontId="20" fillId="0" borderId="0" xfId="22" applyFont="1" applyFill="1">
      <alignment/>
      <protection/>
    </xf>
    <xf numFmtId="37" fontId="20" fillId="0" borderId="0" xfId="0" applyNumberFormat="1" applyFont="1" applyFill="1" applyAlignment="1">
      <alignment/>
    </xf>
    <xf numFmtId="37" fontId="20" fillId="0" borderId="1" xfId="0" applyNumberFormat="1" applyFont="1" applyFill="1" applyBorder="1" applyAlignment="1">
      <alignment/>
    </xf>
    <xf numFmtId="0" fontId="10" fillId="0" borderId="1" xfId="0" applyFont="1" applyFill="1" applyBorder="1" applyAlignment="1">
      <alignment horizontal="justify" vertical="center" wrapText="1"/>
    </xf>
    <xf numFmtId="0" fontId="10" fillId="0" borderId="0" xfId="0" applyFont="1" applyFill="1" applyAlignment="1">
      <alignment horizontal="justify" vertical="center" wrapText="1"/>
    </xf>
    <xf numFmtId="0" fontId="11" fillId="0" borderId="9" xfId="0" applyFont="1" applyFill="1" applyBorder="1" applyAlignment="1">
      <alignment vertical="top" wrapText="1"/>
    </xf>
    <xf numFmtId="0" fontId="10" fillId="0" borderId="8" xfId="0" applyFont="1" applyFill="1" applyBorder="1" applyAlignment="1">
      <alignment horizontal="justify" vertical="top" wrapText="1"/>
    </xf>
    <xf numFmtId="0" fontId="10" fillId="0" borderId="14" xfId="0" applyFont="1" applyFill="1" applyBorder="1" applyAlignment="1">
      <alignment horizontal="justify" vertical="top" wrapText="1"/>
    </xf>
    <xf numFmtId="0" fontId="10" fillId="0" borderId="15" xfId="0" applyFont="1" applyFill="1" applyBorder="1" applyAlignment="1">
      <alignment horizontal="justify" vertical="top" wrapText="1"/>
    </xf>
    <xf numFmtId="3" fontId="10" fillId="0" borderId="0" xfId="0" applyNumberFormat="1" applyFont="1" applyFill="1" applyAlignment="1">
      <alignment horizontal="justify" vertical="top" wrapText="1"/>
    </xf>
    <xf numFmtId="0" fontId="10" fillId="0" borderId="9" xfId="0" applyFont="1" applyFill="1" applyBorder="1" applyAlignment="1">
      <alignment horizontal="justify" vertical="top" wrapText="1"/>
    </xf>
    <xf numFmtId="3" fontId="10" fillId="0" borderId="10" xfId="0" applyNumberFormat="1" applyFont="1" applyFill="1" applyBorder="1" applyAlignment="1">
      <alignment horizontal="right" vertical="top" wrapText="1"/>
    </xf>
    <xf numFmtId="0" fontId="1" fillId="0" borderId="0" xfId="0" applyFont="1" applyAlignment="1">
      <alignment/>
    </xf>
    <xf numFmtId="0" fontId="2" fillId="0" borderId="0" xfId="0" applyNumberFormat="1" applyFont="1" applyAlignment="1" quotePrefix="1">
      <alignment horizontal="center" vertical="top" wrapText="1"/>
    </xf>
    <xf numFmtId="0" fontId="1" fillId="0" borderId="0" xfId="0" applyFont="1" applyAlignment="1">
      <alignment horizontal="left" vertical="top" wrapText="1"/>
    </xf>
    <xf numFmtId="0" fontId="2" fillId="0" borderId="0" xfId="0" applyNumberFormat="1" applyFont="1" applyAlignment="1">
      <alignment horizontal="center" vertical="top" wrapText="1"/>
    </xf>
    <xf numFmtId="177" fontId="10" fillId="0" borderId="0" xfId="15" applyNumberFormat="1" applyFont="1" applyFill="1" applyAlignment="1">
      <alignment horizontal="right" vertical="top" wrapText="1"/>
    </xf>
    <xf numFmtId="0" fontId="2" fillId="0" borderId="0" xfId="0" applyNumberFormat="1" applyFont="1" applyAlignment="1">
      <alignment horizontal="center" vertical="center" wrapText="1"/>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8" fillId="0" borderId="11" xfId="0" applyFont="1" applyFill="1" applyBorder="1" applyAlignment="1">
      <alignment horizontal="center" vertical="justify" wrapText="1"/>
    </xf>
    <xf numFmtId="0" fontId="8" fillId="0" borderId="13" xfId="0" applyFont="1" applyFill="1" applyBorder="1" applyAlignment="1">
      <alignment horizontal="center" vertical="justify" wrapText="1"/>
    </xf>
    <xf numFmtId="0" fontId="1" fillId="0" borderId="0" xfId="0" applyFont="1" applyFill="1" applyAlignment="1">
      <alignment horizontal="left" vertical="top" wrapText="1"/>
    </xf>
    <xf numFmtId="0" fontId="10" fillId="0" borderId="0" xfId="0" applyFont="1" applyFill="1" applyAlignment="1">
      <alignment horizontal="justify" vertical="top"/>
    </xf>
    <xf numFmtId="0" fontId="10" fillId="0" borderId="0" xfId="0" applyFont="1" applyFill="1" applyAlignment="1">
      <alignment horizontal="justify" vertical="top" wrapText="1"/>
    </xf>
    <xf numFmtId="0" fontId="0" fillId="0" borderId="0" xfId="0" applyFont="1" applyFill="1" applyAlignment="1">
      <alignment horizontal="justify" vertical="top" wrapText="1"/>
    </xf>
    <xf numFmtId="0" fontId="10" fillId="0" borderId="0" xfId="0" applyFont="1" applyFill="1" applyAlignment="1">
      <alignment horizontal="left" vertical="top" wrapText="1"/>
    </xf>
    <xf numFmtId="0" fontId="8" fillId="0" borderId="0" xfId="0" applyNumberFormat="1" applyFont="1" applyFill="1" applyAlignment="1" quotePrefix="1">
      <alignment horizontal="center" vertical="top" wrapText="1"/>
    </xf>
    <xf numFmtId="0" fontId="8" fillId="0" borderId="0" xfId="0" applyNumberFormat="1" applyFont="1" applyFill="1" applyAlignment="1" quotePrefix="1">
      <alignment horizontal="center" vertical="top"/>
    </xf>
    <xf numFmtId="0" fontId="1" fillId="0" borderId="0" xfId="0" applyNumberFormat="1" applyFont="1" applyAlignment="1">
      <alignment horizontal="left" vertical="top" wrapText="1"/>
    </xf>
    <xf numFmtId="0" fontId="10" fillId="0" borderId="0" xfId="0" applyFont="1" applyFill="1" applyAlignment="1">
      <alignment horizontal="left" vertical="top"/>
    </xf>
    <xf numFmtId="0" fontId="8" fillId="0" borderId="0" xfId="0" applyFont="1" applyFill="1" applyAlignment="1" quotePrefix="1">
      <alignment horizont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vertical="center" wrapText="1"/>
    </xf>
    <xf numFmtId="0" fontId="8"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center" vertical="top" wrapText="1"/>
    </xf>
    <xf numFmtId="0" fontId="1" fillId="0" borderId="0" xfId="0" applyFont="1" applyFill="1" applyAlignment="1">
      <alignment horizontal="justify" vertical="top" wrapText="1"/>
    </xf>
    <xf numFmtId="0" fontId="0" fillId="0" borderId="0" xfId="0" applyFont="1" applyFill="1" applyAlignment="1">
      <alignment horizontal="justify" vertical="top" wrapText="1"/>
    </xf>
    <xf numFmtId="0" fontId="2" fillId="0" borderId="14"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2" fillId="0" borderId="14" xfId="0" applyFont="1" applyFill="1" applyBorder="1" applyAlignment="1">
      <alignment horizontal="center"/>
    </xf>
    <xf numFmtId="0" fontId="2" fillId="0" borderId="4" xfId="0" applyFont="1" applyFill="1" applyBorder="1" applyAlignment="1">
      <alignment horizontal="center"/>
    </xf>
    <xf numFmtId="180" fontId="2" fillId="0" borderId="9" xfId="0" applyNumberFormat="1" applyFont="1" applyFill="1" applyBorder="1" applyAlignment="1">
      <alignment horizontal="center"/>
    </xf>
    <xf numFmtId="180" fontId="2" fillId="0" borderId="6" xfId="0" applyNumberFormat="1" applyFont="1" applyFill="1" applyBorder="1" applyAlignment="1">
      <alignment horizontal="center"/>
    </xf>
    <xf numFmtId="0" fontId="2"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justify" vertical="top" wrapText="1"/>
    </xf>
    <xf numFmtId="37" fontId="1" fillId="0" borderId="0" xfId="15" applyNumberFormat="1" applyFont="1" applyFill="1" applyAlignment="1">
      <alignment horizontal="center"/>
    </xf>
    <xf numFmtId="37" fontId="2" fillId="0" borderId="0" xfId="15" applyNumberFormat="1" applyFont="1" applyFill="1" applyAlignment="1" quotePrefix="1">
      <alignment horizontal="center"/>
    </xf>
    <xf numFmtId="37" fontId="2" fillId="0" borderId="0" xfId="15" applyNumberFormat="1" applyFont="1" applyFill="1" applyAlignment="1">
      <alignment horizontal="left"/>
    </xf>
    <xf numFmtId="37" fontId="1" fillId="0" borderId="0" xfId="15" applyNumberFormat="1" applyFont="1" applyAlignment="1">
      <alignment horizontal="center"/>
    </xf>
    <xf numFmtId="37" fontId="2" fillId="0" borderId="0" xfId="15" applyNumberFormat="1" applyFont="1" applyAlignment="1" quotePrefix="1">
      <alignment horizontal="center"/>
    </xf>
    <xf numFmtId="37" fontId="2" fillId="0" borderId="0" xfId="15" applyNumberFormat="1" applyFont="1" applyAlignment="1">
      <alignment horizontal="left"/>
    </xf>
    <xf numFmtId="0" fontId="19" fillId="0" borderId="0" xfId="22" applyFont="1" applyFill="1" applyAlignment="1" quotePrefix="1">
      <alignment horizontal="center"/>
      <protection/>
    </xf>
    <xf numFmtId="37" fontId="19" fillId="0" borderId="0" xfId="15" applyNumberFormat="1" applyFont="1" applyFill="1" applyAlignment="1">
      <alignment horizontal="left"/>
    </xf>
    <xf numFmtId="0" fontId="10" fillId="0" borderId="0" xfId="0" applyNumberFormat="1" applyFont="1" applyAlignment="1">
      <alignment horizontal="left" vertical="center" wrapText="1"/>
    </xf>
    <xf numFmtId="0" fontId="10" fillId="0" borderId="0" xfId="0" applyNumberFormat="1" applyFont="1" applyAlignment="1" quotePrefix="1">
      <alignment horizontal="left" vertical="center" wrapText="1"/>
    </xf>
    <xf numFmtId="0" fontId="10" fillId="0" borderId="0" xfId="0" applyNumberFormat="1" applyFont="1" applyAlignment="1">
      <alignment horizontal="left" vertical="top" wrapText="1"/>
    </xf>
    <xf numFmtId="0" fontId="8" fillId="0" borderId="0" xfId="0" applyFont="1" applyFill="1" applyAlignment="1">
      <alignment horizontal="left" vertical="top" wrapText="1"/>
    </xf>
    <xf numFmtId="0" fontId="12" fillId="0" borderId="0" xfId="0" applyFont="1" applyFill="1" applyAlignment="1">
      <alignment horizontal="justify" vertical="top" wrapText="1"/>
    </xf>
    <xf numFmtId="0" fontId="8" fillId="0" borderId="0" xfId="0" applyFont="1" applyFill="1" applyAlignment="1">
      <alignment horizontal="left"/>
    </xf>
    <xf numFmtId="0" fontId="10" fillId="0" borderId="0" xfId="0" applyFont="1" applyFill="1" applyAlignment="1">
      <alignment horizontal="left" vertical="distributed"/>
    </xf>
    <xf numFmtId="0" fontId="10" fillId="0" borderId="0" xfId="0" applyFont="1" applyFill="1" applyAlignment="1" quotePrefix="1">
      <alignment horizontal="center"/>
    </xf>
    <xf numFmtId="0" fontId="10" fillId="0" borderId="0" xfId="0" applyFont="1" applyFill="1" applyAlignment="1">
      <alignment horizontal="center"/>
    </xf>
    <xf numFmtId="0" fontId="8" fillId="0" borderId="14"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0" xfId="0" applyFont="1" applyFill="1" applyAlignment="1">
      <alignment horizontal="justify" vertical="top" wrapText="1"/>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0" xfId="0" applyFont="1" applyFill="1" applyAlignment="1" quotePrefix="1">
      <alignment horizontal="justify" vertical="center" wrapText="1"/>
    </xf>
    <xf numFmtId="0" fontId="11" fillId="0" borderId="0" xfId="0" applyFont="1" applyFill="1" applyAlignment="1">
      <alignment horizontal="justify"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123825</xdr:rowOff>
    </xdr:from>
    <xdr:to>
      <xdr:col>3</xdr:col>
      <xdr:colOff>1133475</xdr:colOff>
      <xdr:row>2</xdr:row>
      <xdr:rowOff>190500</xdr:rowOff>
    </xdr:to>
    <xdr:pic>
      <xdr:nvPicPr>
        <xdr:cNvPr id="1" name="Picture 1"/>
        <xdr:cNvPicPr preferRelativeResize="1">
          <a:picLocks noChangeAspect="1"/>
        </xdr:cNvPicPr>
      </xdr:nvPicPr>
      <xdr:blipFill>
        <a:blip r:embed="rId1"/>
        <a:stretch>
          <a:fillRect/>
        </a:stretch>
      </xdr:blipFill>
      <xdr:spPr>
        <a:xfrm>
          <a:off x="4200525" y="12382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104775</xdr:rowOff>
    </xdr:from>
    <xdr:to>
      <xdr:col>15</xdr:col>
      <xdr:colOff>0</xdr:colOff>
      <xdr:row>6</xdr:row>
      <xdr:rowOff>104775</xdr:rowOff>
    </xdr:to>
    <xdr:sp>
      <xdr:nvSpPr>
        <xdr:cNvPr id="1" name="Line 4"/>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2" name="Line 7"/>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3" name="Line 19"/>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4" name="Line 2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5" name="Line 2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6" name="Line 2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3"/>
        <xdr:cNvSpPr>
          <a:spLocks/>
        </xdr:cNvSpPr>
      </xdr:nvSpPr>
      <xdr:spPr>
        <a:xfrm>
          <a:off x="107442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4" name="Line 4"/>
        <xdr:cNvSpPr>
          <a:spLocks/>
        </xdr:cNvSpPr>
      </xdr:nvSpPr>
      <xdr:spPr>
        <a:xfrm>
          <a:off x="107442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5"/>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6" name="Line 6"/>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7" name="Line 7"/>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8" name="Line 8"/>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9" name="Line 9"/>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10" name="Line 1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P032006\Press%20RELEASE-QTR1%2020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HERIT~1.CCM\LOCALS~1\Temp\notes1321E5\Press%20RELEASE-QTR%202%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l"/>
      <sheetName val="bs"/>
      <sheetName val="ChangesInEquity 2005"/>
      <sheetName val="ChangesInEquity2006"/>
      <sheetName val="KPMG-cf"/>
      <sheetName val="CashFlow up "/>
      <sheetName val="CashFlow WP"/>
      <sheetName val="notes"/>
      <sheetName val="Tax Charge BD"/>
      <sheetName val="cap"/>
      <sheetName val="Sheet1"/>
    </sheetNames>
    <sheetDataSet>
      <sheetData sheetId="1">
        <row r="39">
          <cell r="H39">
            <v>-5681</v>
          </cell>
        </row>
      </sheetData>
      <sheetData sheetId="9">
        <row r="11">
          <cell r="N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ChangesInEquity 2005"/>
      <sheetName val="ChangesInEquity2006"/>
      <sheetName val="CF-RN"/>
      <sheetName val="New CFlow format"/>
      <sheetName val="CashFlow up "/>
      <sheetName val="CashFlow WP"/>
      <sheetName val="notes"/>
      <sheetName val="Tax Charge BD"/>
      <sheetName val="cap"/>
      <sheetName val="KPMG-cf"/>
      <sheetName val="Cflw-workings"/>
    </sheetNames>
    <sheetDataSet>
      <sheetData sheetId="0">
        <row r="24">
          <cell r="D24">
            <v>258293</v>
          </cell>
          <cell r="F24">
            <v>496473</v>
          </cell>
          <cell r="G24">
            <v>412137</v>
          </cell>
        </row>
        <row r="34">
          <cell r="D34">
            <v>36712</v>
          </cell>
          <cell r="F34">
            <v>87904</v>
          </cell>
          <cell r="G34">
            <v>27746</v>
          </cell>
        </row>
        <row r="48">
          <cell r="D48">
            <v>24854</v>
          </cell>
          <cell r="F48">
            <v>64839</v>
          </cell>
        </row>
      </sheetData>
      <sheetData sheetId="1">
        <row r="18">
          <cell r="F18">
            <v>11718</v>
          </cell>
        </row>
        <row r="50">
          <cell r="F50">
            <v>167003</v>
          </cell>
        </row>
      </sheetData>
      <sheetData sheetId="6">
        <row r="55">
          <cell r="D55">
            <v>295521</v>
          </cell>
        </row>
      </sheetData>
      <sheetData sheetId="9">
        <row r="9">
          <cell r="N9">
            <v>10613</v>
          </cell>
        </row>
        <row r="12">
          <cell r="N12">
            <v>1062</v>
          </cell>
        </row>
      </sheetData>
      <sheetData sheetId="10">
        <row r="5">
          <cell r="K5">
            <v>67427</v>
          </cell>
        </row>
        <row r="6">
          <cell r="K6">
            <v>11606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63"/>
  <sheetViews>
    <sheetView zoomScale="75" zoomScaleNormal="75" workbookViewId="0" topLeftCell="A10">
      <selection activeCell="J53" sqref="J53"/>
    </sheetView>
  </sheetViews>
  <sheetFormatPr defaultColWidth="9.140625" defaultRowHeight="13.5"/>
  <cols>
    <col min="1" max="1" width="4.140625" style="4" customWidth="1"/>
    <col min="2" max="2" width="1.7109375" style="4" customWidth="1"/>
    <col min="3" max="3" width="47.57421875" style="4" customWidth="1"/>
    <col min="4" max="4" width="20.421875" style="4" customWidth="1"/>
    <col min="5" max="5" width="20.8515625" style="4" customWidth="1"/>
    <col min="6" max="6" width="20.140625" style="4" customWidth="1"/>
    <col min="7" max="7" width="20.421875" style="4" customWidth="1"/>
    <col min="8" max="8" width="9.140625" style="4" customWidth="1"/>
    <col min="9" max="9" width="12.421875" style="4" customWidth="1"/>
    <col min="10" max="11" width="9.140625" style="4" customWidth="1"/>
    <col min="12" max="12" width="11.00390625" style="4" bestFit="1" customWidth="1"/>
    <col min="13" max="13" width="10.28125" style="4" bestFit="1" customWidth="1"/>
    <col min="14" max="16384" width="9.140625" style="4" customWidth="1"/>
  </cols>
  <sheetData>
    <row r="1" ht="15.75"/>
    <row r="2" ht="15.75">
      <c r="J2" s="42"/>
    </row>
    <row r="3" ht="15.75"/>
    <row r="4" ht="5.25" customHeight="1"/>
    <row r="5" spans="1:7" ht="15.75">
      <c r="A5" s="373" t="s">
        <v>6</v>
      </c>
      <c r="B5" s="373"/>
      <c r="C5" s="373"/>
      <c r="D5" s="373"/>
      <c r="E5" s="373"/>
      <c r="F5" s="373"/>
      <c r="G5" s="373"/>
    </row>
    <row r="6" spans="1:7" ht="15.75">
      <c r="A6" s="373" t="s">
        <v>7</v>
      </c>
      <c r="B6" s="373"/>
      <c r="C6" s="373"/>
      <c r="D6" s="373"/>
      <c r="E6" s="373"/>
      <c r="F6" s="373"/>
      <c r="G6" s="373"/>
    </row>
    <row r="7" spans="1:7" ht="15.75">
      <c r="A7" s="38"/>
      <c r="B7" s="38"/>
      <c r="C7" s="38"/>
      <c r="D7" s="38"/>
      <c r="E7" s="38"/>
      <c r="F7" s="38"/>
      <c r="G7" s="38"/>
    </row>
    <row r="8" ht="9.75" customHeight="1"/>
    <row r="9" spans="1:7" ht="15.75">
      <c r="A9" s="373" t="s">
        <v>8</v>
      </c>
      <c r="B9" s="373"/>
      <c r="C9" s="373"/>
      <c r="D9" s="373"/>
      <c r="E9" s="373"/>
      <c r="F9" s="373"/>
      <c r="G9" s="373"/>
    </row>
    <row r="10" spans="1:7" ht="15.75">
      <c r="A10" s="373" t="s">
        <v>268</v>
      </c>
      <c r="B10" s="373"/>
      <c r="C10" s="373"/>
      <c r="D10" s="373"/>
      <c r="E10" s="373"/>
      <c r="F10" s="373"/>
      <c r="G10" s="373"/>
    </row>
    <row r="11" spans="1:7" ht="15.75">
      <c r="A11" s="38"/>
      <c r="B11" s="38"/>
      <c r="C11" s="38"/>
      <c r="D11" s="38"/>
      <c r="E11" s="38"/>
      <c r="F11" s="38"/>
      <c r="G11" s="38"/>
    </row>
    <row r="13" ht="15.75">
      <c r="A13" s="4" t="s">
        <v>269</v>
      </c>
    </row>
    <row r="15" ht="15.75">
      <c r="C15" s="20" t="s">
        <v>298</v>
      </c>
    </row>
    <row r="16" ht="15.75">
      <c r="B16" s="20"/>
    </row>
    <row r="17" spans="1:2" ht="15.75">
      <c r="A17" s="20"/>
      <c r="B17" s="20"/>
    </row>
    <row r="18" ht="9.75" customHeight="1"/>
    <row r="19" spans="3:7" ht="15" customHeight="1">
      <c r="C19" s="43" t="s">
        <v>183</v>
      </c>
      <c r="D19" s="365" t="s">
        <v>276</v>
      </c>
      <c r="E19" s="366"/>
      <c r="F19" s="369" t="s">
        <v>277</v>
      </c>
      <c r="G19" s="370"/>
    </row>
    <row r="20" spans="4:7" ht="15" customHeight="1">
      <c r="D20" s="367"/>
      <c r="E20" s="368"/>
      <c r="F20" s="371">
        <v>38898</v>
      </c>
      <c r="G20" s="372"/>
    </row>
    <row r="21" spans="4:12" ht="15" customHeight="1">
      <c r="D21" s="249">
        <v>2006</v>
      </c>
      <c r="E21" s="250">
        <v>2005</v>
      </c>
      <c r="F21" s="249">
        <v>2006</v>
      </c>
      <c r="G21" s="251">
        <v>2005</v>
      </c>
      <c r="J21" s="38"/>
      <c r="K21" s="38"/>
      <c r="L21" s="38"/>
    </row>
    <row r="22" spans="4:10" ht="15" customHeight="1">
      <c r="D22" s="252"/>
      <c r="E22" s="252" t="s">
        <v>184</v>
      </c>
      <c r="F22" s="252"/>
      <c r="G22" s="253" t="s">
        <v>184</v>
      </c>
      <c r="J22" s="230"/>
    </row>
    <row r="23" spans="4:11" ht="9.75" customHeight="1">
      <c r="D23" s="254"/>
      <c r="E23" s="254"/>
      <c r="F23" s="254"/>
      <c r="G23" s="255"/>
      <c r="J23" s="44"/>
      <c r="K23" s="44"/>
    </row>
    <row r="24" spans="1:13" ht="15" customHeight="1">
      <c r="A24" s="21"/>
      <c r="B24" s="21"/>
      <c r="C24" s="4" t="s">
        <v>54</v>
      </c>
      <c r="D24" s="256">
        <f>F24-238180</f>
        <v>258293</v>
      </c>
      <c r="E24" s="256">
        <f>G24-168482</f>
        <v>243655</v>
      </c>
      <c r="F24" s="256">
        <v>496473</v>
      </c>
      <c r="G24" s="258">
        <v>412137</v>
      </c>
      <c r="H24" s="24"/>
      <c r="I24" s="24"/>
      <c r="J24" s="25"/>
      <c r="K24" s="25"/>
      <c r="L24" s="23"/>
      <c r="M24" s="33"/>
    </row>
    <row r="25" spans="1:13" ht="15" customHeight="1">
      <c r="A25" s="21"/>
      <c r="B25" s="21"/>
      <c r="C25" s="4" t="s">
        <v>228</v>
      </c>
      <c r="D25" s="259">
        <f>F25-187697</f>
        <v>188158</v>
      </c>
      <c r="E25" s="259">
        <f>G25-131865</f>
        <v>180872</v>
      </c>
      <c r="F25" s="259">
        <v>375855</v>
      </c>
      <c r="G25" s="260">
        <v>312737</v>
      </c>
      <c r="H25" s="24"/>
      <c r="I25" s="24"/>
      <c r="J25" s="25"/>
      <c r="K25" s="25"/>
      <c r="L25" s="215"/>
      <c r="M25" s="33"/>
    </row>
    <row r="26" spans="1:13" ht="15" customHeight="1">
      <c r="A26" s="21"/>
      <c r="B26" s="21"/>
      <c r="D26" s="256"/>
      <c r="E26" s="256"/>
      <c r="F26" s="256"/>
      <c r="G26" s="258"/>
      <c r="H26" s="24"/>
      <c r="I26" s="24"/>
      <c r="J26" s="25"/>
      <c r="K26" s="25"/>
      <c r="L26" s="215"/>
      <c r="M26" s="33"/>
    </row>
    <row r="27" spans="1:13" ht="15" customHeight="1">
      <c r="A27" s="21"/>
      <c r="B27" s="21"/>
      <c r="C27" s="20" t="s">
        <v>229</v>
      </c>
      <c r="D27" s="261">
        <f>D24-D25</f>
        <v>70135</v>
      </c>
      <c r="E27" s="261">
        <f>E24-E25</f>
        <v>62783</v>
      </c>
      <c r="F27" s="261">
        <f>F24-F25</f>
        <v>120618</v>
      </c>
      <c r="G27" s="262">
        <f>G24-G25</f>
        <v>99400</v>
      </c>
      <c r="H27" s="24"/>
      <c r="I27" s="24"/>
      <c r="J27" s="25"/>
      <c r="K27" s="25"/>
      <c r="L27" s="231"/>
      <c r="M27" s="33"/>
    </row>
    <row r="28" spans="1:13" ht="14.25" customHeight="1">
      <c r="A28" s="27"/>
      <c r="B28" s="27"/>
      <c r="C28" s="29"/>
      <c r="D28" s="261"/>
      <c r="E28" s="256"/>
      <c r="F28" s="261"/>
      <c r="G28" s="258"/>
      <c r="H28" s="24"/>
      <c r="I28" s="24"/>
      <c r="J28" s="25"/>
      <c r="K28" s="25"/>
      <c r="L28" s="215"/>
      <c r="M28" s="33"/>
    </row>
    <row r="29" spans="1:13" ht="14.25" customHeight="1">
      <c r="A29" s="27"/>
      <c r="B29" s="27"/>
      <c r="C29" s="29" t="s">
        <v>169</v>
      </c>
      <c r="D29" s="256">
        <f>F29-(31536+658)</f>
        <v>18339</v>
      </c>
      <c r="E29" s="256">
        <f>G29-(50-33)-501</f>
        <v>1785</v>
      </c>
      <c r="F29" s="256">
        <f>47671+42+2820</f>
        <v>50533</v>
      </c>
      <c r="G29" s="258">
        <f>51-33+2285</f>
        <v>2303</v>
      </c>
      <c r="H29" s="24"/>
      <c r="I29" s="24"/>
      <c r="J29" s="25"/>
      <c r="K29" s="25"/>
      <c r="L29" s="215"/>
      <c r="M29" s="33"/>
    </row>
    <row r="30" spans="1:13" ht="15" customHeight="1">
      <c r="A30" s="21"/>
      <c r="B30" s="21"/>
      <c r="C30" s="4" t="s">
        <v>230</v>
      </c>
      <c r="D30" s="256">
        <f>F30+6941</f>
        <v>-7368</v>
      </c>
      <c r="E30" s="256">
        <f>G30+4863</f>
        <v>-5193</v>
      </c>
      <c r="F30" s="256">
        <v>-14309</v>
      </c>
      <c r="G30" s="258">
        <v>-10056</v>
      </c>
      <c r="H30" s="24"/>
      <c r="I30" s="24"/>
      <c r="J30" s="25"/>
      <c r="K30" s="25"/>
      <c r="L30" s="215"/>
      <c r="M30" s="33"/>
    </row>
    <row r="31" spans="1:13" ht="15" customHeight="1">
      <c r="A31" s="21"/>
      <c r="B31" s="21"/>
      <c r="C31" s="4" t="s">
        <v>231</v>
      </c>
      <c r="D31" s="256">
        <f>F31+14785</f>
        <v>-11409</v>
      </c>
      <c r="E31" s="256">
        <f>G31+12173</f>
        <v>-8184</v>
      </c>
      <c r="F31" s="256">
        <v>-26194</v>
      </c>
      <c r="G31" s="258">
        <v>-20357</v>
      </c>
      <c r="H31" s="24"/>
      <c r="I31" s="24"/>
      <c r="J31" s="25"/>
      <c r="K31" s="25"/>
      <c r="L31" s="215"/>
      <c r="M31" s="33"/>
    </row>
    <row r="32" spans="1:13" ht="15" customHeight="1">
      <c r="A32" s="21"/>
      <c r="B32" s="21"/>
      <c r="C32" s="4" t="s">
        <v>232</v>
      </c>
      <c r="D32" s="258">
        <f>F32+9759</f>
        <v>-32985</v>
      </c>
      <c r="E32" s="215">
        <f>G32+9902</f>
        <v>-33642</v>
      </c>
      <c r="F32" s="256">
        <v>-42744</v>
      </c>
      <c r="G32" s="258">
        <f>-42384-1160</f>
        <v>-43544</v>
      </c>
      <c r="H32" s="24"/>
      <c r="I32" s="24"/>
      <c r="J32" s="25"/>
      <c r="K32" s="25"/>
      <c r="L32" s="215"/>
      <c r="M32" s="33"/>
    </row>
    <row r="33" spans="1:13" ht="15.75" customHeight="1">
      <c r="A33" s="21"/>
      <c r="B33" s="21"/>
      <c r="D33" s="259"/>
      <c r="E33" s="259"/>
      <c r="F33" s="259"/>
      <c r="G33" s="260"/>
      <c r="H33" s="24"/>
      <c r="I33" s="24"/>
      <c r="J33" s="25"/>
      <c r="K33" s="25"/>
      <c r="L33" s="215"/>
      <c r="M33" s="33"/>
    </row>
    <row r="34" spans="1:13" ht="15.75" customHeight="1">
      <c r="A34" s="21"/>
      <c r="B34" s="21"/>
      <c r="C34" s="46" t="s">
        <v>176</v>
      </c>
      <c r="D34" s="256">
        <f>SUM(D27:D33)</f>
        <v>36712</v>
      </c>
      <c r="E34" s="256">
        <f>SUM(E27:E33)</f>
        <v>17549</v>
      </c>
      <c r="F34" s="256">
        <f>SUM(F27:F33)</f>
        <v>87904</v>
      </c>
      <c r="G34" s="258">
        <f>SUM(G27:G33)</f>
        <v>27746</v>
      </c>
      <c r="H34" s="24"/>
      <c r="I34" s="24"/>
      <c r="J34" s="25"/>
      <c r="K34" s="25"/>
      <c r="L34" s="215"/>
      <c r="M34" s="33"/>
    </row>
    <row r="35" spans="1:13" ht="15.75" customHeight="1">
      <c r="A35" s="21"/>
      <c r="B35" s="21"/>
      <c r="C35" s="3" t="s">
        <v>177</v>
      </c>
      <c r="D35" s="256"/>
      <c r="E35" s="256"/>
      <c r="F35" s="256"/>
      <c r="G35" s="258"/>
      <c r="H35" s="24"/>
      <c r="I35" s="24"/>
      <c r="J35" s="25"/>
      <c r="K35" s="25"/>
      <c r="L35" s="215"/>
      <c r="M35" s="33"/>
    </row>
    <row r="36" spans="1:13" ht="15.75" customHeight="1">
      <c r="A36" s="21"/>
      <c r="B36" s="21"/>
      <c r="C36" s="3" t="s">
        <v>178</v>
      </c>
      <c r="D36" s="256">
        <f>F36-93</f>
        <v>308</v>
      </c>
      <c r="E36" s="256">
        <f>G36-152</f>
        <v>78</v>
      </c>
      <c r="F36" s="256">
        <v>401</v>
      </c>
      <c r="G36" s="258">
        <v>230</v>
      </c>
      <c r="H36" s="24"/>
      <c r="I36" s="24"/>
      <c r="J36" s="25"/>
      <c r="K36" s="25"/>
      <c r="L36" s="215"/>
      <c r="M36" s="33"/>
    </row>
    <row r="37" spans="1:13" ht="15.75" customHeight="1">
      <c r="A37" s="21"/>
      <c r="B37" s="21"/>
      <c r="C37" s="3" t="s">
        <v>305</v>
      </c>
      <c r="D37" s="256">
        <f>F37-1892.94</f>
        <v>2421.06</v>
      </c>
      <c r="E37" s="256">
        <f>G37-3271</f>
        <v>2855.5600000000004</v>
      </c>
      <c r="F37" s="256">
        <v>4314</v>
      </c>
      <c r="G37" s="258">
        <v>6126.56</v>
      </c>
      <c r="H37" s="24"/>
      <c r="I37" s="24"/>
      <c r="J37" s="25"/>
      <c r="K37" s="25"/>
      <c r="L37" s="215"/>
      <c r="M37" s="33"/>
    </row>
    <row r="38" spans="1:13" ht="15.75" customHeight="1">
      <c r="A38" s="21"/>
      <c r="B38" s="21"/>
      <c r="C38" s="3" t="s">
        <v>306</v>
      </c>
      <c r="D38" s="256">
        <f>F38+3708.25</f>
        <v>-4241.88</v>
      </c>
      <c r="E38" s="256">
        <f>G38+2884</f>
        <v>-2716.5299999999997</v>
      </c>
      <c r="F38" s="256">
        <v>-7950.13</v>
      </c>
      <c r="G38" s="258">
        <v>-5600.53</v>
      </c>
      <c r="H38" s="24"/>
      <c r="I38" s="24"/>
      <c r="J38" s="25"/>
      <c r="K38" s="25"/>
      <c r="L38" s="215"/>
      <c r="M38" s="33"/>
    </row>
    <row r="39" spans="1:13" ht="17.25" customHeight="1">
      <c r="A39" s="21"/>
      <c r="B39" s="21"/>
      <c r="D39" s="263"/>
      <c r="E39" s="259"/>
      <c r="F39" s="263"/>
      <c r="G39" s="260"/>
      <c r="H39" s="24"/>
      <c r="I39" s="24"/>
      <c r="J39" s="25"/>
      <c r="K39" s="25"/>
      <c r="L39" s="215"/>
      <c r="M39" s="33"/>
    </row>
    <row r="40" spans="1:13" ht="15.75">
      <c r="A40" s="45"/>
      <c r="B40" s="45"/>
      <c r="C40" s="20" t="s">
        <v>179</v>
      </c>
      <c r="D40" s="264">
        <f>SUM(D34:D39)</f>
        <v>35199.18</v>
      </c>
      <c r="E40" s="264">
        <f>SUM(E34:E39)</f>
        <v>17766.030000000002</v>
      </c>
      <c r="F40" s="264">
        <f>SUM(F34:F39)</f>
        <v>84668.87</v>
      </c>
      <c r="G40" s="265">
        <f>SUM(G34:G39)</f>
        <v>28502.03</v>
      </c>
      <c r="H40" s="24"/>
      <c r="I40" s="24"/>
      <c r="J40" s="25"/>
      <c r="K40" s="25"/>
      <c r="L40" s="232"/>
      <c r="M40" s="33"/>
    </row>
    <row r="41" spans="1:13" ht="15.75">
      <c r="A41" s="27"/>
      <c r="B41" s="27"/>
      <c r="D41" s="256"/>
      <c r="E41" s="256"/>
      <c r="F41" s="261"/>
      <c r="G41" s="258"/>
      <c r="H41" s="24"/>
      <c r="I41" s="24"/>
      <c r="J41" s="25"/>
      <c r="K41" s="25"/>
      <c r="L41" s="215"/>
      <c r="M41" s="33"/>
    </row>
    <row r="42" spans="1:13" ht="15.75" hidden="1">
      <c r="A42" s="27"/>
      <c r="B42" s="27"/>
      <c r="D42" s="256"/>
      <c r="E42" s="256"/>
      <c r="F42" s="261"/>
      <c r="G42" s="258"/>
      <c r="H42" s="24"/>
      <c r="I42" s="24"/>
      <c r="J42" s="25"/>
      <c r="K42" s="25"/>
      <c r="L42" s="215"/>
      <c r="M42" s="33"/>
    </row>
    <row r="43" spans="1:13" ht="15.75">
      <c r="A43" s="27"/>
      <c r="B43" s="27"/>
      <c r="C43" s="4" t="s">
        <v>174</v>
      </c>
      <c r="D43" s="256">
        <f>F43+5681</f>
        <v>-5994</v>
      </c>
      <c r="E43" s="256">
        <f>G43+3805-59</f>
        <v>-5653</v>
      </c>
      <c r="F43" s="256">
        <v>-11675</v>
      </c>
      <c r="G43" s="258">
        <v>-9399</v>
      </c>
      <c r="H43" s="24"/>
      <c r="I43" s="24"/>
      <c r="J43" s="25"/>
      <c r="K43" s="25"/>
      <c r="L43" s="215"/>
      <c r="M43" s="33"/>
    </row>
    <row r="44" spans="1:13" ht="10.5" customHeight="1">
      <c r="A44" s="21"/>
      <c r="B44" s="21"/>
      <c r="D44" s="263"/>
      <c r="E44" s="259"/>
      <c r="F44" s="263"/>
      <c r="G44" s="260"/>
      <c r="H44" s="24"/>
      <c r="I44" s="24"/>
      <c r="J44" s="25"/>
      <c r="K44" s="25"/>
      <c r="L44" s="215"/>
      <c r="M44" s="33"/>
    </row>
    <row r="45" spans="1:13" ht="24.75" customHeight="1" thickBot="1">
      <c r="A45" s="21"/>
      <c r="B45" s="21"/>
      <c r="C45" s="20" t="s">
        <v>175</v>
      </c>
      <c r="D45" s="266">
        <f>SUM(D40:D44)</f>
        <v>29205.18</v>
      </c>
      <c r="E45" s="266">
        <f>SUM(E40:E44)</f>
        <v>12113.030000000002</v>
      </c>
      <c r="F45" s="266">
        <f>SUM(F40:F44)</f>
        <v>72993.87</v>
      </c>
      <c r="G45" s="267">
        <f>SUM(G40:G44)</f>
        <v>19103.03</v>
      </c>
      <c r="H45" s="24"/>
      <c r="I45" s="24"/>
      <c r="J45" s="25"/>
      <c r="K45" s="25"/>
      <c r="L45" s="231"/>
      <c r="M45" s="33"/>
    </row>
    <row r="46" spans="1:13" ht="15" customHeight="1" thickTop="1">
      <c r="A46" s="21"/>
      <c r="B46" s="21"/>
      <c r="C46" s="20"/>
      <c r="D46" s="261"/>
      <c r="E46" s="256"/>
      <c r="F46" s="261"/>
      <c r="G46" s="258"/>
      <c r="H46" s="25"/>
      <c r="I46" s="25"/>
      <c r="J46" s="25"/>
      <c r="K46" s="25"/>
      <c r="L46" s="215"/>
      <c r="M46" s="33"/>
    </row>
    <row r="47" spans="1:13" ht="15" customHeight="1">
      <c r="A47" s="21"/>
      <c r="B47" s="21"/>
      <c r="C47" s="20" t="s">
        <v>180</v>
      </c>
      <c r="D47" s="261"/>
      <c r="E47" s="256"/>
      <c r="F47" s="261"/>
      <c r="G47" s="258"/>
      <c r="H47" s="25"/>
      <c r="I47" s="25"/>
      <c r="J47" s="25"/>
      <c r="K47" s="25"/>
      <c r="L47" s="215"/>
      <c r="M47" s="33"/>
    </row>
    <row r="48" spans="1:13" ht="15" customHeight="1">
      <c r="A48" s="21"/>
      <c r="B48" s="21"/>
      <c r="C48" s="4" t="s">
        <v>181</v>
      </c>
      <c r="D48" s="261">
        <f>F48-39985</f>
        <v>24854</v>
      </c>
      <c r="E48" s="256">
        <f>G48-4561</f>
        <v>7869</v>
      </c>
      <c r="F48" s="261">
        <v>64839</v>
      </c>
      <c r="G48" s="258">
        <v>12430</v>
      </c>
      <c r="H48" s="25"/>
      <c r="I48" s="25"/>
      <c r="J48" s="25"/>
      <c r="K48" s="25"/>
      <c r="L48" s="215"/>
      <c r="M48" s="33"/>
    </row>
    <row r="49" spans="1:13" ht="15" customHeight="1">
      <c r="A49" s="21"/>
      <c r="B49" s="21"/>
      <c r="C49" s="4" t="s">
        <v>182</v>
      </c>
      <c r="D49" s="263">
        <f>F49-3804</f>
        <v>4351</v>
      </c>
      <c r="E49" s="259">
        <f>G49-2429</f>
        <v>4244</v>
      </c>
      <c r="F49" s="263">
        <v>8155</v>
      </c>
      <c r="G49" s="260">
        <v>6673</v>
      </c>
      <c r="H49" s="25"/>
      <c r="I49" s="25"/>
      <c r="J49" s="25"/>
      <c r="K49" s="25"/>
      <c r="L49" s="215"/>
      <c r="M49" s="33"/>
    </row>
    <row r="50" spans="1:13" ht="15" customHeight="1" thickBot="1">
      <c r="A50" s="21"/>
      <c r="B50" s="21"/>
      <c r="C50" s="20" t="s">
        <v>175</v>
      </c>
      <c r="D50" s="268">
        <f>D48+D49</f>
        <v>29205</v>
      </c>
      <c r="E50" s="269">
        <f>SUM(E48:E49)</f>
        <v>12113</v>
      </c>
      <c r="F50" s="268">
        <f>F48+F49</f>
        <v>72994</v>
      </c>
      <c r="G50" s="270">
        <f>SUM(G48:G49)</f>
        <v>19103</v>
      </c>
      <c r="H50" s="25"/>
      <c r="I50" s="25"/>
      <c r="J50" s="25"/>
      <c r="K50" s="25"/>
      <c r="L50" s="215"/>
      <c r="M50" s="33"/>
    </row>
    <row r="51" spans="1:11" ht="15" customHeight="1" thickTop="1">
      <c r="A51" s="21"/>
      <c r="B51" s="21"/>
      <c r="D51" s="35"/>
      <c r="E51" s="40"/>
      <c r="F51" s="35"/>
      <c r="G51" s="34"/>
      <c r="H51" s="25"/>
      <c r="I51" s="25"/>
      <c r="J51" s="25"/>
      <c r="K51" s="25"/>
    </row>
    <row r="52" spans="1:11" ht="15" customHeight="1">
      <c r="A52" s="21"/>
      <c r="B52" s="21"/>
      <c r="C52" s="4" t="s">
        <v>73</v>
      </c>
      <c r="D52" s="36">
        <f>notes!H283</f>
        <v>6.4832349918353085</v>
      </c>
      <c r="E52" s="41">
        <v>2.11</v>
      </c>
      <c r="F52" s="36">
        <f>notes!I283</f>
        <v>16.913433396459705</v>
      </c>
      <c r="G52" s="47">
        <v>3.33</v>
      </c>
      <c r="H52" s="25"/>
      <c r="I52" s="25"/>
      <c r="J52" s="25"/>
      <c r="K52" s="25"/>
    </row>
    <row r="53" spans="1:11" ht="15" customHeight="1">
      <c r="A53" s="21"/>
      <c r="B53" s="21"/>
      <c r="D53" s="35"/>
      <c r="E53" s="40"/>
      <c r="F53" s="35"/>
      <c r="G53" s="34"/>
      <c r="H53" s="25"/>
      <c r="I53" s="25"/>
      <c r="J53" s="25"/>
      <c r="K53" s="25"/>
    </row>
    <row r="54" spans="1:11" ht="15" customHeight="1" thickBot="1">
      <c r="A54" s="21"/>
      <c r="B54" s="21"/>
      <c r="C54" s="4" t="s">
        <v>74</v>
      </c>
      <c r="D54" s="212">
        <f>notes!H299</f>
        <v>5.678574269326287</v>
      </c>
      <c r="E54" s="213">
        <v>1.82</v>
      </c>
      <c r="F54" s="212">
        <f>notes!I299</f>
        <v>14.949314620544591</v>
      </c>
      <c r="G54" s="214">
        <v>3.03</v>
      </c>
      <c r="H54" s="25"/>
      <c r="I54" s="25"/>
      <c r="J54" s="25"/>
      <c r="K54" s="25"/>
    </row>
    <row r="55" spans="1:4" ht="16.5" thickTop="1">
      <c r="A55" s="21"/>
      <c r="B55" s="21"/>
      <c r="D55" s="20"/>
    </row>
    <row r="56" ht="15.75">
      <c r="D56" s="20"/>
    </row>
    <row r="57" spans="4:6" ht="15.75">
      <c r="D57" s="20"/>
      <c r="E57" s="20"/>
      <c r="F57" s="20"/>
    </row>
    <row r="58" spans="2:7" ht="15.75">
      <c r="B58" s="20"/>
      <c r="C58" s="363" t="s">
        <v>259</v>
      </c>
      <c r="D58" s="364"/>
      <c r="E58" s="364"/>
      <c r="F58" s="364"/>
      <c r="G58" s="364"/>
    </row>
    <row r="59" spans="3:7" ht="15.75">
      <c r="C59" s="364"/>
      <c r="D59" s="364"/>
      <c r="E59" s="364"/>
      <c r="F59" s="364"/>
      <c r="G59" s="364"/>
    </row>
    <row r="60" ht="15.75">
      <c r="D60" s="20"/>
    </row>
    <row r="61" ht="15.75">
      <c r="D61" s="20"/>
    </row>
    <row r="62" ht="15.75">
      <c r="D62" s="20"/>
    </row>
    <row r="63" ht="15.75">
      <c r="D63" s="20"/>
    </row>
  </sheetData>
  <mergeCells count="8">
    <mergeCell ref="A5:G5"/>
    <mergeCell ref="A6:G6"/>
    <mergeCell ref="A9:G9"/>
    <mergeCell ref="A10:G10"/>
    <mergeCell ref="C58:G59"/>
    <mergeCell ref="D19:E20"/>
    <mergeCell ref="F19:G19"/>
    <mergeCell ref="F20:G20"/>
  </mergeCells>
  <printOptions/>
  <pageMargins left="0.75" right="0.75" top="1" bottom="1" header="0.5" footer="0.5"/>
  <pageSetup horizontalDpi="600" verticalDpi="600" orientation="portrait" paperSize="9" scale="61"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view="pageBreakPreview" zoomScale="60" zoomScaleNormal="80" workbookViewId="0" topLeftCell="B40">
      <selection activeCell="M60" sqref="M60"/>
    </sheetView>
  </sheetViews>
  <sheetFormatPr defaultColWidth="9.140625" defaultRowHeight="13.5"/>
  <cols>
    <col min="1" max="1" width="3.8515625" style="271" customWidth="1"/>
    <col min="2" max="2" width="1.7109375" style="271" customWidth="1"/>
    <col min="3" max="3" width="3.7109375" style="271" customWidth="1"/>
    <col min="4" max="4" width="70.7109375" style="271" customWidth="1"/>
    <col min="5" max="5" width="4.7109375" style="272" customWidth="1"/>
    <col min="6" max="6" width="38.421875" style="274" customWidth="1"/>
    <col min="7" max="7" width="3.140625" style="272" customWidth="1"/>
    <col min="8" max="8" width="38.7109375" style="274" customWidth="1"/>
    <col min="9" max="9" width="4.28125" style="271" customWidth="1"/>
    <col min="10" max="10" width="10.140625" style="272" bestFit="1" customWidth="1"/>
    <col min="11" max="16384" width="9.140625" style="271" customWidth="1"/>
  </cols>
  <sheetData>
    <row r="1" spans="1:8" ht="23.25">
      <c r="A1" s="374" t="s">
        <v>11</v>
      </c>
      <c r="B1" s="374"/>
      <c r="C1" s="374"/>
      <c r="D1" s="374"/>
      <c r="E1" s="374"/>
      <c r="F1" s="374"/>
      <c r="G1" s="374"/>
      <c r="H1" s="374"/>
    </row>
    <row r="2" spans="1:8" ht="23.25">
      <c r="A2" s="257"/>
      <c r="B2" s="257"/>
      <c r="C2" s="257"/>
      <c r="D2" s="257"/>
      <c r="E2" s="257"/>
      <c r="F2" s="257"/>
      <c r="G2" s="257"/>
      <c r="H2" s="257"/>
    </row>
    <row r="3" spans="1:8" ht="23.25">
      <c r="A3" s="257"/>
      <c r="B3" s="257"/>
      <c r="C3" s="257"/>
      <c r="D3" s="257"/>
      <c r="E3" s="257"/>
      <c r="F3" s="257"/>
      <c r="G3" s="257"/>
      <c r="H3" s="257"/>
    </row>
    <row r="5" spans="1:2" ht="23.25">
      <c r="A5" s="273" t="s">
        <v>273</v>
      </c>
      <c r="B5" s="273"/>
    </row>
    <row r="6" spans="1:2" ht="7.5" customHeight="1">
      <c r="A6" s="273"/>
      <c r="B6" s="273"/>
    </row>
    <row r="7" spans="1:2" ht="7.5" customHeight="1">
      <c r="A7" s="273"/>
      <c r="B7" s="273"/>
    </row>
    <row r="8" spans="1:8" ht="23.25">
      <c r="A8" s="275"/>
      <c r="B8" s="275"/>
      <c r="F8" s="276"/>
      <c r="G8" s="277"/>
      <c r="H8" s="276"/>
    </row>
    <row r="9" spans="1:8" ht="23.25">
      <c r="A9" s="275"/>
      <c r="B9" s="275"/>
      <c r="D9" s="278" t="s">
        <v>183</v>
      </c>
      <c r="F9" s="276" t="s">
        <v>274</v>
      </c>
      <c r="G9" s="277"/>
      <c r="H9" s="276" t="s">
        <v>185</v>
      </c>
    </row>
    <row r="10" spans="1:8" ht="23.25">
      <c r="A10" s="275"/>
      <c r="B10" s="275"/>
      <c r="F10" s="276"/>
      <c r="G10" s="277"/>
      <c r="H10" s="276" t="s">
        <v>184</v>
      </c>
    </row>
    <row r="11" spans="1:8" ht="23.25">
      <c r="A11" s="275"/>
      <c r="B11" s="275"/>
      <c r="F11" s="276"/>
      <c r="G11" s="277"/>
      <c r="H11" s="276"/>
    </row>
    <row r="12" spans="1:4" ht="23.25">
      <c r="A12" s="275"/>
      <c r="B12" s="275"/>
      <c r="D12" s="273" t="s">
        <v>199</v>
      </c>
    </row>
    <row r="13" spans="1:10" ht="23.25">
      <c r="A13" s="275"/>
      <c r="B13" s="275"/>
      <c r="D13" s="271" t="s">
        <v>55</v>
      </c>
      <c r="F13" s="274">
        <v>448048</v>
      </c>
      <c r="G13" s="279"/>
      <c r="H13" s="274">
        <v>412639</v>
      </c>
      <c r="J13" s="279"/>
    </row>
    <row r="14" spans="1:10" ht="23.25">
      <c r="A14" s="275"/>
      <c r="B14" s="275"/>
      <c r="D14" s="271" t="s">
        <v>186</v>
      </c>
      <c r="G14" s="279"/>
      <c r="J14" s="279"/>
    </row>
    <row r="15" spans="1:10" ht="23.25">
      <c r="A15" s="275"/>
      <c r="B15" s="275"/>
      <c r="D15" s="271" t="s">
        <v>187</v>
      </c>
      <c r="F15" s="274">
        <f>63</f>
        <v>63</v>
      </c>
      <c r="G15" s="279"/>
      <c r="H15" s="274">
        <f>63</f>
        <v>63</v>
      </c>
      <c r="J15" s="279"/>
    </row>
    <row r="16" spans="1:10" ht="23.25">
      <c r="A16" s="275"/>
      <c r="B16" s="275"/>
      <c r="D16" s="271" t="s">
        <v>172</v>
      </c>
      <c r="F16" s="274">
        <v>189659</v>
      </c>
      <c r="G16" s="279"/>
      <c r="H16" s="274">
        <v>189659</v>
      </c>
      <c r="J16" s="279"/>
    </row>
    <row r="17" spans="1:10" ht="23.25">
      <c r="A17" s="275"/>
      <c r="B17" s="275"/>
      <c r="D17" s="271" t="s">
        <v>188</v>
      </c>
      <c r="F17" s="274">
        <v>4642</v>
      </c>
      <c r="G17" s="279"/>
      <c r="H17" s="274">
        <v>4241</v>
      </c>
      <c r="J17" s="279"/>
    </row>
    <row r="18" spans="1:10" ht="23.25">
      <c r="A18" s="275"/>
      <c r="B18" s="275"/>
      <c r="D18" s="271" t="s">
        <v>36</v>
      </c>
      <c r="F18" s="274">
        <v>11718</v>
      </c>
      <c r="G18" s="279"/>
      <c r="H18" s="274">
        <v>74906</v>
      </c>
      <c r="J18" s="279"/>
    </row>
    <row r="19" spans="1:10" ht="23.25">
      <c r="A19" s="275"/>
      <c r="B19" s="275"/>
      <c r="D19" s="271" t="s">
        <v>189</v>
      </c>
      <c r="F19" s="274">
        <v>1057</v>
      </c>
      <c r="G19" s="279"/>
      <c r="H19" s="274">
        <v>76</v>
      </c>
      <c r="J19" s="279"/>
    </row>
    <row r="20" spans="1:10" ht="23.25">
      <c r="A20" s="275"/>
      <c r="B20" s="275"/>
      <c r="D20" s="273" t="s">
        <v>190</v>
      </c>
      <c r="F20" s="280">
        <f>SUM(F13:F19)</f>
        <v>655187</v>
      </c>
      <c r="G20" s="281"/>
      <c r="H20" s="280">
        <f>SUM(H13:H19)</f>
        <v>681584</v>
      </c>
      <c r="I20" s="272"/>
      <c r="J20" s="279"/>
    </row>
    <row r="21" spans="1:10" ht="23.25">
      <c r="A21" s="275"/>
      <c r="B21" s="275"/>
      <c r="G21" s="279"/>
      <c r="J21" s="279"/>
    </row>
    <row r="22" spans="1:10" ht="23.25">
      <c r="A22" s="275"/>
      <c r="B22" s="275"/>
      <c r="D22" s="273" t="s">
        <v>37</v>
      </c>
      <c r="G22" s="279"/>
      <c r="J22" s="279"/>
    </row>
    <row r="23" spans="1:10" ht="23.25">
      <c r="A23" s="275"/>
      <c r="B23" s="275"/>
      <c r="D23" s="271" t="s">
        <v>56</v>
      </c>
      <c r="F23" s="274">
        <v>213401</v>
      </c>
      <c r="G23" s="279"/>
      <c r="H23" s="274">
        <v>167839</v>
      </c>
      <c r="J23" s="279"/>
    </row>
    <row r="24" spans="1:10" ht="23.25">
      <c r="A24" s="275"/>
      <c r="B24" s="275"/>
      <c r="D24" s="271" t="s">
        <v>191</v>
      </c>
      <c r="F24" s="274">
        <f>217001+12165+239+15274</f>
        <v>244679</v>
      </c>
      <c r="G24" s="279"/>
      <c r="H24" s="274">
        <f>178860+25633+295+5536</f>
        <v>210324</v>
      </c>
      <c r="J24" s="279"/>
    </row>
    <row r="25" spans="1:10" ht="23.25">
      <c r="A25" s="275"/>
      <c r="B25" s="275"/>
      <c r="D25" s="271" t="s">
        <v>192</v>
      </c>
      <c r="F25" s="274">
        <v>404090</v>
      </c>
      <c r="G25" s="279"/>
      <c r="H25" s="274">
        <v>295521</v>
      </c>
      <c r="J25" s="279"/>
    </row>
    <row r="26" spans="1:10" ht="5.25" customHeight="1">
      <c r="A26" s="275"/>
      <c r="B26" s="275"/>
      <c r="G26" s="279"/>
      <c r="J26" s="279"/>
    </row>
    <row r="27" spans="1:10" ht="26.25" customHeight="1">
      <c r="A27" s="275"/>
      <c r="B27" s="275"/>
      <c r="D27" s="273" t="s">
        <v>193</v>
      </c>
      <c r="F27" s="282">
        <f>SUM(F23:F26)</f>
        <v>862170</v>
      </c>
      <c r="G27" s="283"/>
      <c r="H27" s="282">
        <f>SUM(H23:H26)</f>
        <v>673684</v>
      </c>
      <c r="J27" s="279"/>
    </row>
    <row r="28" spans="1:10" ht="3.75" customHeight="1">
      <c r="A28" s="275"/>
      <c r="B28" s="275"/>
      <c r="D28" s="273"/>
      <c r="F28" s="284"/>
      <c r="G28" s="285"/>
      <c r="H28" s="284"/>
      <c r="J28" s="279"/>
    </row>
    <row r="29" spans="1:10" ht="31.5" customHeight="1" thickBot="1">
      <c r="A29" s="275"/>
      <c r="B29" s="275"/>
      <c r="D29" s="273" t="s">
        <v>200</v>
      </c>
      <c r="F29" s="286">
        <f>F20+F27</f>
        <v>1517357</v>
      </c>
      <c r="G29" s="287"/>
      <c r="H29" s="286">
        <f>H20+H27</f>
        <v>1355268</v>
      </c>
      <c r="J29" s="279"/>
    </row>
    <row r="30" spans="1:10" ht="24" thickTop="1">
      <c r="A30" s="275"/>
      <c r="B30" s="275"/>
      <c r="G30" s="279"/>
      <c r="J30" s="279"/>
    </row>
    <row r="31" spans="1:10" ht="23.25">
      <c r="A31" s="275"/>
      <c r="B31" s="275"/>
      <c r="D31" s="273" t="s">
        <v>201</v>
      </c>
      <c r="G31" s="279"/>
      <c r="J31" s="279"/>
    </row>
    <row r="32" spans="1:10" ht="23.25">
      <c r="A32" s="275"/>
      <c r="B32" s="275"/>
      <c r="D32" s="271" t="s">
        <v>38</v>
      </c>
      <c r="F32" s="274">
        <v>391648</v>
      </c>
      <c r="G32" s="279"/>
      <c r="H32" s="274">
        <v>383520</v>
      </c>
      <c r="J32" s="279"/>
    </row>
    <row r="33" spans="1:10" ht="23.25">
      <c r="A33" s="275"/>
      <c r="B33" s="275"/>
      <c r="D33" s="271" t="s">
        <v>141</v>
      </c>
      <c r="F33" s="274">
        <v>12775</v>
      </c>
      <c r="G33" s="279"/>
      <c r="H33" s="274">
        <v>9812</v>
      </c>
      <c r="J33" s="279"/>
    </row>
    <row r="34" spans="1:10" ht="23.25">
      <c r="A34" s="275"/>
      <c r="B34" s="275"/>
      <c r="D34" s="271" t="s">
        <v>39</v>
      </c>
      <c r="F34" s="274">
        <v>-5836</v>
      </c>
      <c r="G34" s="279"/>
      <c r="H34" s="274">
        <v>-11443</v>
      </c>
      <c r="J34" s="279"/>
    </row>
    <row r="35" spans="1:10" ht="23.25">
      <c r="A35" s="275"/>
      <c r="B35" s="275"/>
      <c r="D35" s="271" t="s">
        <v>203</v>
      </c>
      <c r="F35" s="288">
        <f>73+3225+55414-183</f>
        <v>58529</v>
      </c>
      <c r="G35" s="279"/>
      <c r="H35" s="288">
        <f>73+55386+2982-100</f>
        <v>58341</v>
      </c>
      <c r="J35" s="279"/>
    </row>
    <row r="36" spans="1:10" ht="23.25">
      <c r="A36" s="275"/>
      <c r="B36" s="275"/>
      <c r="D36" s="271" t="s">
        <v>202</v>
      </c>
      <c r="F36" s="284">
        <v>266585</v>
      </c>
      <c r="G36" s="285"/>
      <c r="H36" s="284">
        <f>242944</f>
        <v>242944</v>
      </c>
      <c r="J36" s="279"/>
    </row>
    <row r="37" spans="1:10" ht="23.25">
      <c r="A37" s="275"/>
      <c r="B37" s="275"/>
      <c r="D37" s="273" t="s">
        <v>194</v>
      </c>
      <c r="G37" s="279"/>
      <c r="J37" s="279"/>
    </row>
    <row r="38" spans="1:10" ht="23.25">
      <c r="A38" s="275"/>
      <c r="B38" s="275"/>
      <c r="D38" s="273" t="s">
        <v>195</v>
      </c>
      <c r="F38" s="274">
        <f>SUM(F32:F36)</f>
        <v>723701</v>
      </c>
      <c r="G38" s="279"/>
      <c r="H38" s="274">
        <f>SUM(H32:H36)</f>
        <v>683174</v>
      </c>
      <c r="J38" s="279"/>
    </row>
    <row r="39" spans="1:10" ht="23.25">
      <c r="A39" s="275"/>
      <c r="B39" s="275"/>
      <c r="D39" s="273" t="s">
        <v>196</v>
      </c>
      <c r="F39" s="284">
        <v>99205</v>
      </c>
      <c r="G39" s="285"/>
      <c r="H39" s="284">
        <v>95484</v>
      </c>
      <c r="J39" s="279"/>
    </row>
    <row r="40" spans="1:10" ht="23.25">
      <c r="A40" s="275"/>
      <c r="B40" s="275"/>
      <c r="D40" s="273" t="s">
        <v>197</v>
      </c>
      <c r="F40" s="280">
        <f>SUM(F38:F39)</f>
        <v>822906</v>
      </c>
      <c r="G40" s="281"/>
      <c r="H40" s="280">
        <f>SUM(H38:H39)</f>
        <v>778658</v>
      </c>
      <c r="J40" s="279"/>
    </row>
    <row r="41" spans="1:10" ht="23.25">
      <c r="A41" s="275"/>
      <c r="B41" s="275"/>
      <c r="G41" s="279"/>
      <c r="J41" s="279"/>
    </row>
    <row r="42" spans="1:10" ht="23.25">
      <c r="A42" s="275"/>
      <c r="B42" s="275"/>
      <c r="D42" s="273" t="s">
        <v>204</v>
      </c>
      <c r="G42" s="279"/>
      <c r="J42" s="279"/>
    </row>
    <row r="43" spans="1:10" ht="23.25">
      <c r="A43" s="275"/>
      <c r="B43" s="275"/>
      <c r="D43" s="271" t="s">
        <v>205</v>
      </c>
      <c r="F43" s="274">
        <v>300000</v>
      </c>
      <c r="G43" s="279"/>
      <c r="H43" s="274">
        <v>300000</v>
      </c>
      <c r="J43" s="279"/>
    </row>
    <row r="44" spans="1:10" ht="23.25">
      <c r="A44" s="275"/>
      <c r="B44" s="275"/>
      <c r="D44" s="271" t="s">
        <v>198</v>
      </c>
      <c r="F44" s="274">
        <v>35686</v>
      </c>
      <c r="G44" s="279"/>
      <c r="H44" s="274">
        <v>34641</v>
      </c>
      <c r="J44" s="279"/>
    </row>
    <row r="45" spans="1:10" ht="23.25">
      <c r="A45" s="275"/>
      <c r="B45" s="275"/>
      <c r="D45" s="273" t="s">
        <v>207</v>
      </c>
      <c r="F45" s="280">
        <f>SUM(F43:F44)</f>
        <v>335686</v>
      </c>
      <c r="G45" s="281"/>
      <c r="H45" s="280">
        <f>SUM(H43:H44)</f>
        <v>334641</v>
      </c>
      <c r="J45" s="279"/>
    </row>
    <row r="46" spans="1:10" ht="23.25">
      <c r="A46" s="275"/>
      <c r="B46" s="275"/>
      <c r="G46" s="279"/>
      <c r="J46" s="279"/>
    </row>
    <row r="47" spans="1:10" ht="23.25">
      <c r="A47" s="275"/>
      <c r="B47" s="275"/>
      <c r="D47" s="273" t="s">
        <v>208</v>
      </c>
      <c r="G47" s="279"/>
      <c r="J47" s="279"/>
    </row>
    <row r="48" spans="1:10" ht="23.25">
      <c r="A48" s="275"/>
      <c r="B48" s="275"/>
      <c r="D48" s="271" t="s">
        <v>57</v>
      </c>
      <c r="F48" s="274">
        <v>127413</v>
      </c>
      <c r="G48" s="279"/>
      <c r="H48" s="274">
        <v>88700</v>
      </c>
      <c r="J48" s="279"/>
    </row>
    <row r="49" spans="1:10" ht="23.25">
      <c r="A49" s="275"/>
      <c r="B49" s="275"/>
      <c r="D49" s="271" t="s">
        <v>58</v>
      </c>
      <c r="F49" s="274">
        <v>52312</v>
      </c>
      <c r="G49" s="279"/>
      <c r="H49" s="274">
        <f>33291</f>
        <v>33291</v>
      </c>
      <c r="J49" s="279"/>
    </row>
    <row r="50" spans="1:10" ht="23.25">
      <c r="A50" s="275"/>
      <c r="B50" s="275"/>
      <c r="D50" s="271" t="s">
        <v>205</v>
      </c>
      <c r="F50" s="274">
        <f>8842+158161</f>
        <v>167003</v>
      </c>
      <c r="G50" s="279"/>
      <c r="H50" s="274">
        <v>109714</v>
      </c>
      <c r="J50" s="279"/>
    </row>
    <row r="51" spans="1:10" ht="23.25">
      <c r="A51" s="275"/>
      <c r="B51" s="275"/>
      <c r="D51" s="271" t="s">
        <v>209</v>
      </c>
      <c r="F51" s="274">
        <v>12037</v>
      </c>
      <c r="G51" s="279"/>
      <c r="H51" s="274">
        <v>9172</v>
      </c>
      <c r="J51" s="279"/>
    </row>
    <row r="52" spans="1:10" ht="23.25">
      <c r="A52" s="275"/>
      <c r="B52" s="275"/>
      <c r="D52" s="271" t="s">
        <v>206</v>
      </c>
      <c r="G52" s="279"/>
      <c r="H52" s="274">
        <v>1092</v>
      </c>
      <c r="J52" s="279"/>
    </row>
    <row r="53" spans="2:10" ht="23.25">
      <c r="B53" s="275"/>
      <c r="D53" s="273" t="s">
        <v>210</v>
      </c>
      <c r="F53" s="280">
        <f>SUM(F48:F52)</f>
        <v>358765</v>
      </c>
      <c r="G53" s="281"/>
      <c r="H53" s="280">
        <f>SUM(H48:H52)</f>
        <v>241969</v>
      </c>
      <c r="J53" s="279"/>
    </row>
    <row r="54" spans="1:10" ht="9.75" customHeight="1">
      <c r="A54" s="275"/>
      <c r="B54" s="275"/>
      <c r="E54" s="271"/>
      <c r="F54" s="271"/>
      <c r="G54" s="271"/>
      <c r="H54" s="271"/>
      <c r="J54" s="279"/>
    </row>
    <row r="55" spans="1:10" ht="23.25">
      <c r="A55" s="275"/>
      <c r="B55" s="275"/>
      <c r="D55" s="273" t="s">
        <v>211</v>
      </c>
      <c r="E55" s="271"/>
      <c r="F55" s="289">
        <f>F45+F53</f>
        <v>694451</v>
      </c>
      <c r="G55" s="271"/>
      <c r="H55" s="289">
        <f>H45+H53</f>
        <v>576610</v>
      </c>
      <c r="J55" s="279"/>
    </row>
    <row r="56" spans="1:10" ht="5.25" customHeight="1">
      <c r="A56" s="275"/>
      <c r="B56" s="275"/>
      <c r="G56" s="279"/>
      <c r="J56" s="279"/>
    </row>
    <row r="57" spans="1:10" ht="27" customHeight="1" thickBot="1">
      <c r="A57" s="275"/>
      <c r="B57" s="275"/>
      <c r="D57" s="273" t="s">
        <v>212</v>
      </c>
      <c r="F57" s="290">
        <f>F55+F40</f>
        <v>1517357</v>
      </c>
      <c r="G57" s="291"/>
      <c r="H57" s="290">
        <f>H55+H40</f>
        <v>1355268</v>
      </c>
      <c r="J57" s="279"/>
    </row>
    <row r="58" spans="1:10" ht="7.5" customHeight="1" thickTop="1">
      <c r="A58" s="275"/>
      <c r="B58" s="275"/>
      <c r="G58" s="279"/>
      <c r="J58" s="279"/>
    </row>
    <row r="59" spans="1:7" ht="9" customHeight="1">
      <c r="A59" s="275"/>
      <c r="B59" s="275"/>
      <c r="G59" s="279"/>
    </row>
    <row r="60" spans="1:8" ht="23.25">
      <c r="A60" s="275"/>
      <c r="B60" s="275"/>
      <c r="D60" s="273" t="s">
        <v>266</v>
      </c>
      <c r="F60" s="292">
        <f>(F38)*100/(F32-2998)</f>
        <v>186.2089283416956</v>
      </c>
      <c r="G60" s="292"/>
      <c r="H60" s="292">
        <f>(H38)*100/(H32-5888)</f>
        <v>180.90998644182696</v>
      </c>
    </row>
    <row r="61" spans="1:7" ht="23.25">
      <c r="A61" s="275"/>
      <c r="B61" s="275"/>
      <c r="D61" s="273" t="s">
        <v>267</v>
      </c>
      <c r="G61" s="279"/>
    </row>
    <row r="62" spans="1:8" ht="23.25">
      <c r="A62" s="275"/>
      <c r="B62" s="275"/>
      <c r="F62" s="293"/>
      <c r="G62" s="279"/>
      <c r="H62" s="293"/>
    </row>
    <row r="63" spans="1:8" ht="23.25">
      <c r="A63" s="275"/>
      <c r="B63" s="275"/>
      <c r="D63" s="375" t="s">
        <v>319</v>
      </c>
      <c r="E63" s="375"/>
      <c r="F63" s="375"/>
      <c r="G63" s="375"/>
      <c r="H63" s="375"/>
    </row>
    <row r="64" spans="1:8" ht="23.25">
      <c r="A64" s="275"/>
      <c r="B64" s="275"/>
      <c r="D64" s="375"/>
      <c r="E64" s="375"/>
      <c r="F64" s="375"/>
      <c r="G64" s="375"/>
      <c r="H64" s="375"/>
    </row>
    <row r="65" spans="1:8" ht="23.25">
      <c r="A65" s="275"/>
      <c r="B65" s="275"/>
      <c r="D65" s="375"/>
      <c r="E65" s="375"/>
      <c r="F65" s="375"/>
      <c r="G65" s="375"/>
      <c r="H65" s="375"/>
    </row>
    <row r="66" spans="1:7" ht="23.25">
      <c r="A66" s="275"/>
      <c r="B66" s="275"/>
      <c r="G66" s="279"/>
    </row>
    <row r="67" spans="1:7" ht="23.25">
      <c r="A67" s="294"/>
      <c r="B67" s="294"/>
      <c r="G67" s="279"/>
    </row>
    <row r="68" spans="1:7" ht="23.25">
      <c r="A68" s="294"/>
      <c r="B68" s="294"/>
      <c r="G68" s="279"/>
    </row>
    <row r="69" ht="23.25">
      <c r="G69" s="279"/>
    </row>
    <row r="70" ht="23.25">
      <c r="G70" s="295"/>
    </row>
    <row r="71" spans="4:7" ht="23.25">
      <c r="D71" s="271" t="s">
        <v>213</v>
      </c>
      <c r="G71" s="295"/>
    </row>
  </sheetData>
  <mergeCells count="2">
    <mergeCell ref="A1:H1"/>
    <mergeCell ref="D63:H65"/>
  </mergeCells>
  <printOptions/>
  <pageMargins left="0.7874015748031497" right="0.3937007874015748" top="0" bottom="0" header="0.5118110236220472" footer="0.5118110236220472"/>
  <pageSetup fitToHeight="1"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dimension ref="A1:O38"/>
  <sheetViews>
    <sheetView view="pageBreakPreview" zoomScale="75" zoomScaleNormal="75" zoomScaleSheetLayoutView="75" workbookViewId="0" topLeftCell="B7">
      <selection activeCell="O30" sqref="O30"/>
    </sheetView>
  </sheetViews>
  <sheetFormatPr defaultColWidth="9.140625" defaultRowHeight="13.5"/>
  <cols>
    <col min="1" max="1" width="41.8515625" style="26" customWidth="1"/>
    <col min="2" max="2" width="2.7109375" style="26" customWidth="1"/>
    <col min="3" max="5" width="12.7109375" style="26" customWidth="1"/>
    <col min="6" max="6" width="14.00390625" style="26" customWidth="1"/>
    <col min="7" max="7" width="13.57421875" style="26" customWidth="1"/>
    <col min="8" max="12" width="12.7109375" style="26" customWidth="1"/>
    <col min="13" max="13" width="14.8515625" style="26" customWidth="1"/>
    <col min="14" max="14" width="10.421875" style="26" customWidth="1"/>
    <col min="15" max="16384" width="9.140625" style="26" customWidth="1"/>
  </cols>
  <sheetData>
    <row r="1" spans="1:13" ht="15.75">
      <c r="A1" s="377" t="s">
        <v>115</v>
      </c>
      <c r="B1" s="377"/>
      <c r="C1" s="377"/>
      <c r="D1" s="377"/>
      <c r="E1" s="377"/>
      <c r="F1" s="377"/>
      <c r="G1" s="377"/>
      <c r="H1" s="377"/>
      <c r="I1" s="377"/>
      <c r="J1" s="377"/>
      <c r="K1" s="377"/>
      <c r="L1" s="377"/>
      <c r="M1" s="377"/>
    </row>
    <row r="2" spans="1:13" ht="15.75">
      <c r="A2" s="234"/>
      <c r="B2" s="234"/>
      <c r="C2" s="234"/>
      <c r="D2" s="234"/>
      <c r="E2" s="234"/>
      <c r="F2" s="234"/>
      <c r="G2" s="234"/>
      <c r="H2" s="234"/>
      <c r="I2" s="234"/>
      <c r="J2" s="234"/>
      <c r="K2" s="234"/>
      <c r="L2" s="234"/>
      <c r="M2" s="234"/>
    </row>
    <row r="3" spans="1:13" ht="15.75">
      <c r="A3" s="378" t="s">
        <v>299</v>
      </c>
      <c r="B3" s="378"/>
      <c r="C3" s="378"/>
      <c r="D3" s="378"/>
      <c r="E3" s="378"/>
      <c r="F3" s="378"/>
      <c r="G3" s="378"/>
      <c r="H3" s="378"/>
      <c r="I3" s="378"/>
      <c r="J3" s="378"/>
      <c r="K3" s="378"/>
      <c r="L3" s="378"/>
      <c r="M3" s="378"/>
    </row>
    <row r="5" ht="15.75">
      <c r="A5" s="302" t="s">
        <v>71</v>
      </c>
    </row>
    <row r="7" spans="3:12" ht="15.75">
      <c r="C7" s="376" t="s">
        <v>122</v>
      </c>
      <c r="D7" s="376"/>
      <c r="E7" s="376"/>
      <c r="F7" s="376"/>
      <c r="G7" s="376"/>
      <c r="H7" s="376"/>
      <c r="I7" s="376"/>
      <c r="J7" s="233" t="s">
        <v>119</v>
      </c>
      <c r="K7" s="233"/>
      <c r="L7" s="233"/>
    </row>
    <row r="8" spans="3:13" ht="15.75">
      <c r="C8" s="303" t="s">
        <v>79</v>
      </c>
      <c r="D8" s="303" t="s">
        <v>126</v>
      </c>
      <c r="E8" s="303" t="s">
        <v>78</v>
      </c>
      <c r="F8" s="303" t="s">
        <v>75</v>
      </c>
      <c r="G8" s="303" t="s">
        <v>81</v>
      </c>
      <c r="H8" s="303" t="s">
        <v>76</v>
      </c>
      <c r="I8" s="303" t="s">
        <v>77</v>
      </c>
      <c r="J8" s="303" t="s">
        <v>87</v>
      </c>
      <c r="K8" s="303" t="s">
        <v>22</v>
      </c>
      <c r="L8" s="303" t="s">
        <v>222</v>
      </c>
      <c r="M8" s="303" t="s">
        <v>22</v>
      </c>
    </row>
    <row r="9" spans="3:13" ht="15.75">
      <c r="C9" s="303" t="s">
        <v>75</v>
      </c>
      <c r="D9" s="303" t="s">
        <v>127</v>
      </c>
      <c r="E9" s="303" t="s">
        <v>85</v>
      </c>
      <c r="F9" s="303" t="s">
        <v>80</v>
      </c>
      <c r="G9" s="303" t="s">
        <v>86</v>
      </c>
      <c r="H9" s="303" t="s">
        <v>82</v>
      </c>
      <c r="I9" s="303" t="s">
        <v>83</v>
      </c>
      <c r="J9" s="303" t="s">
        <v>84</v>
      </c>
      <c r="K9" s="303"/>
      <c r="L9" s="303" t="s">
        <v>214</v>
      </c>
      <c r="M9" s="303" t="s">
        <v>221</v>
      </c>
    </row>
    <row r="10" spans="3:13" ht="15.75">
      <c r="C10" s="303"/>
      <c r="D10" s="303"/>
      <c r="E10" s="303"/>
      <c r="F10" s="303" t="s">
        <v>86</v>
      </c>
      <c r="H10" s="303" t="s">
        <v>86</v>
      </c>
      <c r="I10" s="303" t="s">
        <v>86</v>
      </c>
      <c r="J10" s="303"/>
      <c r="K10" s="303"/>
      <c r="L10" s="303"/>
      <c r="M10" s="303"/>
    </row>
    <row r="11" spans="3:15" ht="15.75">
      <c r="C11" s="296"/>
      <c r="D11" s="296"/>
      <c r="E11" s="296"/>
      <c r="F11" s="296"/>
      <c r="G11" s="296"/>
      <c r="H11" s="296"/>
      <c r="I11" s="296"/>
      <c r="J11" s="296"/>
      <c r="K11" s="296"/>
      <c r="L11" s="296"/>
      <c r="M11" s="304"/>
      <c r="N11" s="296"/>
      <c r="O11" s="296"/>
    </row>
    <row r="12" spans="1:15" ht="18" customHeight="1">
      <c r="A12" s="302" t="s">
        <v>215</v>
      </c>
      <c r="C12" s="296">
        <v>377895</v>
      </c>
      <c r="D12" s="296">
        <v>-11443</v>
      </c>
      <c r="E12" s="296">
        <v>7787</v>
      </c>
      <c r="F12" s="296">
        <v>73</v>
      </c>
      <c r="G12" s="296">
        <v>39393</v>
      </c>
      <c r="H12" s="296">
        <v>2982</v>
      </c>
      <c r="I12" s="296">
        <v>-203</v>
      </c>
      <c r="J12" s="296">
        <v>204943</v>
      </c>
      <c r="K12" s="296">
        <f>SUM(C12:J12)</f>
        <v>621427</v>
      </c>
      <c r="L12" s="296">
        <v>47699</v>
      </c>
      <c r="M12" s="22">
        <f>K12+L12</f>
        <v>669126</v>
      </c>
      <c r="N12" s="296"/>
      <c r="O12" s="296"/>
    </row>
    <row r="13" spans="1:15" ht="18" customHeight="1">
      <c r="A13" s="302"/>
      <c r="C13" s="296"/>
      <c r="D13" s="296"/>
      <c r="E13" s="296"/>
      <c r="F13" s="296"/>
      <c r="G13" s="296"/>
      <c r="H13" s="296"/>
      <c r="I13" s="296"/>
      <c r="J13" s="296"/>
      <c r="K13" s="296"/>
      <c r="L13" s="296"/>
      <c r="M13" s="22"/>
      <c r="N13" s="296"/>
      <c r="O13" s="296"/>
    </row>
    <row r="14" spans="1:15" ht="15.75">
      <c r="A14" s="26" t="s">
        <v>216</v>
      </c>
      <c r="C14" s="297"/>
      <c r="D14" s="297"/>
      <c r="E14" s="297"/>
      <c r="F14" s="297"/>
      <c r="G14" s="297"/>
      <c r="H14" s="297"/>
      <c r="I14" s="297"/>
      <c r="J14" s="297"/>
      <c r="K14" s="297"/>
      <c r="L14" s="297"/>
      <c r="M14" s="305"/>
      <c r="N14" s="296"/>
      <c r="O14" s="296"/>
    </row>
    <row r="15" spans="1:13" ht="14.25" customHeight="1" hidden="1">
      <c r="A15" s="26" t="s">
        <v>88</v>
      </c>
      <c r="C15" s="298"/>
      <c r="D15" s="22"/>
      <c r="E15" s="22"/>
      <c r="J15" s="306"/>
      <c r="K15" s="306"/>
      <c r="L15" s="306"/>
      <c r="M15" s="307">
        <f>SUM(C15:J15)</f>
        <v>0</v>
      </c>
    </row>
    <row r="16" spans="3:13" ht="15.75" hidden="1">
      <c r="C16" s="299"/>
      <c r="D16" s="22"/>
      <c r="E16" s="22"/>
      <c r="J16" s="22"/>
      <c r="K16" s="22"/>
      <c r="L16" s="22"/>
      <c r="M16" s="308"/>
    </row>
    <row r="17" spans="1:13" ht="15.75" hidden="1">
      <c r="A17" s="26" t="s">
        <v>89</v>
      </c>
      <c r="C17" s="299"/>
      <c r="D17" s="22"/>
      <c r="E17" s="22"/>
      <c r="J17" s="22"/>
      <c r="K17" s="22"/>
      <c r="L17" s="22"/>
      <c r="M17" s="308">
        <f>SUM(C17:J17)</f>
        <v>0</v>
      </c>
    </row>
    <row r="18" spans="1:13" ht="15.75" hidden="1">
      <c r="A18" s="26" t="s">
        <v>90</v>
      </c>
      <c r="C18" s="299"/>
      <c r="D18" s="22"/>
      <c r="E18" s="22"/>
      <c r="J18" s="22"/>
      <c r="K18" s="22"/>
      <c r="L18" s="22"/>
      <c r="M18" s="308"/>
    </row>
    <row r="19" spans="3:13" ht="15.75">
      <c r="C19" s="299"/>
      <c r="D19" s="22"/>
      <c r="E19" s="22"/>
      <c r="J19" s="22"/>
      <c r="K19" s="22"/>
      <c r="L19" s="22"/>
      <c r="M19" s="308"/>
    </row>
    <row r="20" spans="1:13" ht="15.75">
      <c r="A20" s="26" t="s">
        <v>91</v>
      </c>
      <c r="C20" s="299"/>
      <c r="D20" s="22"/>
      <c r="E20" s="22"/>
      <c r="I20" s="26">
        <v>196</v>
      </c>
      <c r="J20" s="22"/>
      <c r="K20" s="296">
        <f>SUM(C20:J20)</f>
        <v>196</v>
      </c>
      <c r="L20" s="22"/>
      <c r="M20" s="309">
        <f>K20+L20</f>
        <v>196</v>
      </c>
    </row>
    <row r="21" spans="3:13" ht="15.75">
      <c r="C21" s="300"/>
      <c r="D21" s="31"/>
      <c r="E21" s="31"/>
      <c r="F21" s="31"/>
      <c r="G21" s="31"/>
      <c r="H21" s="31"/>
      <c r="I21" s="31"/>
      <c r="J21" s="31"/>
      <c r="K21" s="31"/>
      <c r="L21" s="31"/>
      <c r="M21" s="310"/>
    </row>
    <row r="22" spans="1:13" ht="15.75">
      <c r="A22" s="26" t="s">
        <v>92</v>
      </c>
      <c r="M22" s="311"/>
    </row>
    <row r="23" spans="1:13" ht="15.75">
      <c r="A23" s="26" t="s">
        <v>93</v>
      </c>
      <c r="C23" s="301">
        <f>SUM(C15:C21)</f>
        <v>0</v>
      </c>
      <c r="D23" s="301">
        <f>SUM(D15:D21)</f>
        <v>0</v>
      </c>
      <c r="E23" s="301"/>
      <c r="F23" s="301">
        <f>SUM(F15:F21)</f>
        <v>0</v>
      </c>
      <c r="G23" s="301">
        <f>SUM(G15:G21)</f>
        <v>0</v>
      </c>
      <c r="H23" s="301">
        <f>SUM(H15:H21)</f>
        <v>0</v>
      </c>
      <c r="I23" s="26">
        <f>I20</f>
        <v>196</v>
      </c>
      <c r="K23" s="296">
        <f>SUM(C23:J23)</f>
        <v>196</v>
      </c>
      <c r="M23" s="22">
        <f>K23+L23</f>
        <v>196</v>
      </c>
    </row>
    <row r="25" spans="1:13" ht="15.75">
      <c r="A25" s="26" t="s">
        <v>225</v>
      </c>
      <c r="C25" s="26">
        <v>1890</v>
      </c>
      <c r="E25" s="26">
        <v>680</v>
      </c>
      <c r="K25" s="296">
        <f>SUM(C25:J25)</f>
        <v>2570</v>
      </c>
      <c r="M25" s="22">
        <f>K25+L25</f>
        <v>2570</v>
      </c>
    </row>
    <row r="27" spans="1:13" ht="15.75">
      <c r="A27" s="26" t="s">
        <v>223</v>
      </c>
      <c r="C27" s="31"/>
      <c r="D27" s="31"/>
      <c r="E27" s="31"/>
      <c r="F27" s="31"/>
      <c r="G27" s="31"/>
      <c r="H27" s="31"/>
      <c r="I27" s="31"/>
      <c r="J27" s="31">
        <v>12430</v>
      </c>
      <c r="K27" s="297">
        <f>SUM(C27:J27)</f>
        <v>12430</v>
      </c>
      <c r="L27" s="31">
        <v>6673</v>
      </c>
      <c r="M27" s="31">
        <f>K27+L27</f>
        <v>19103</v>
      </c>
    </row>
    <row r="28" ht="7.5" customHeight="1">
      <c r="M28" s="311"/>
    </row>
    <row r="29" spans="1:13" ht="15.75">
      <c r="A29" s="26" t="s">
        <v>226</v>
      </c>
      <c r="C29" s="26">
        <f>SUM(C23:C27)</f>
        <v>1890</v>
      </c>
      <c r="E29" s="26">
        <f>SUM(E23:E27)</f>
        <v>680</v>
      </c>
      <c r="I29" s="26">
        <f>SUM(I23:I27)</f>
        <v>196</v>
      </c>
      <c r="J29" s="26">
        <f>SUM(J23:J27)</f>
        <v>12430</v>
      </c>
      <c r="K29" s="296">
        <f>SUM(K23:K27)</f>
        <v>15196</v>
      </c>
      <c r="L29" s="26">
        <f>SUM(L23:L27)</f>
        <v>6673</v>
      </c>
      <c r="M29" s="26">
        <f>SUM(M23:M27)</f>
        <v>21869</v>
      </c>
    </row>
    <row r="30" spans="1:13" ht="15.75">
      <c r="A30" s="26" t="s">
        <v>224</v>
      </c>
      <c r="M30" s="311"/>
    </row>
    <row r="31" ht="15.75">
      <c r="M31" s="311"/>
    </row>
    <row r="32" spans="1:13" ht="15.75">
      <c r="A32" s="26" t="s">
        <v>124</v>
      </c>
      <c r="J32" s="26">
        <v>-29577</v>
      </c>
      <c r="K32" s="296">
        <f>SUM(C32:J32)</f>
        <v>-29577</v>
      </c>
      <c r="L32" s="26">
        <v>51</v>
      </c>
      <c r="M32" s="22">
        <f>K32+L32</f>
        <v>-29526</v>
      </c>
    </row>
    <row r="33" spans="3:13" ht="15.75">
      <c r="C33" s="31"/>
      <c r="D33" s="31"/>
      <c r="E33" s="31"/>
      <c r="F33" s="31"/>
      <c r="G33" s="31"/>
      <c r="H33" s="31"/>
      <c r="I33" s="31"/>
      <c r="J33" s="31"/>
      <c r="K33" s="31"/>
      <c r="L33" s="31"/>
      <c r="M33" s="31"/>
    </row>
    <row r="34" spans="1:13" ht="15.75">
      <c r="A34" s="311"/>
      <c r="B34" s="311"/>
      <c r="M34" s="22"/>
    </row>
    <row r="35" spans="1:15" ht="16.5" thickBot="1">
      <c r="A35" s="312" t="s">
        <v>275</v>
      </c>
      <c r="B35" s="311"/>
      <c r="C35" s="32">
        <f>C12+SUM(C29:C33)</f>
        <v>379785</v>
      </c>
      <c r="D35" s="32">
        <f aca="true" t="shared" si="0" ref="D35:L35">D12+SUM(D29:D33)</f>
        <v>-11443</v>
      </c>
      <c r="E35" s="32">
        <f t="shared" si="0"/>
        <v>8467</v>
      </c>
      <c r="F35" s="32">
        <f t="shared" si="0"/>
        <v>73</v>
      </c>
      <c r="G35" s="32">
        <f t="shared" si="0"/>
        <v>39393</v>
      </c>
      <c r="H35" s="32">
        <f t="shared" si="0"/>
        <v>2982</v>
      </c>
      <c r="I35" s="32">
        <f t="shared" si="0"/>
        <v>-7</v>
      </c>
      <c r="J35" s="32">
        <f t="shared" si="0"/>
        <v>187796</v>
      </c>
      <c r="K35" s="32">
        <f t="shared" si="0"/>
        <v>607046</v>
      </c>
      <c r="L35" s="32">
        <f t="shared" si="0"/>
        <v>54423</v>
      </c>
      <c r="M35" s="32">
        <f>K35+L35</f>
        <v>661469</v>
      </c>
      <c r="N35" s="22"/>
      <c r="O35" s="22"/>
    </row>
    <row r="36" spans="1:15" ht="16.5" thickTop="1">
      <c r="A36" s="311"/>
      <c r="B36" s="311"/>
      <c r="C36" s="22"/>
      <c r="D36" s="22"/>
      <c r="E36" s="22"/>
      <c r="F36" s="22"/>
      <c r="G36" s="22"/>
      <c r="H36" s="22"/>
      <c r="I36" s="22"/>
      <c r="J36" s="22"/>
      <c r="K36" s="22"/>
      <c r="L36" s="22"/>
      <c r="M36" s="22"/>
      <c r="N36" s="22"/>
      <c r="O36" s="22"/>
    </row>
    <row r="37" spans="1:13" ht="15.75">
      <c r="A37" s="311"/>
      <c r="B37" s="311"/>
      <c r="M37" s="22"/>
    </row>
    <row r="38" spans="1:13" ht="15.75">
      <c r="A38" s="311"/>
      <c r="B38" s="311"/>
      <c r="C38" s="311"/>
      <c r="D38" s="311"/>
      <c r="E38" s="311"/>
      <c r="F38" s="311"/>
      <c r="G38" s="311"/>
      <c r="H38" s="311"/>
      <c r="I38" s="311"/>
      <c r="J38" s="311"/>
      <c r="K38" s="311"/>
      <c r="L38" s="311"/>
      <c r="M38" s="311"/>
    </row>
  </sheetData>
  <mergeCells count="3">
    <mergeCell ref="C7:I7"/>
    <mergeCell ref="A1:M1"/>
    <mergeCell ref="A3:M3"/>
  </mergeCells>
  <printOptions horizontalCentered="1" verticalCentered="1"/>
  <pageMargins left="0.75" right="0.75" top="1" bottom="1" header="0.5" footer="0.5"/>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O41"/>
  <sheetViews>
    <sheetView zoomScale="75" zoomScaleNormal="75" zoomScaleSheetLayoutView="50" workbookViewId="0" topLeftCell="B28">
      <selection activeCell="N41" sqref="N41"/>
    </sheetView>
  </sheetViews>
  <sheetFormatPr defaultColWidth="9.140625" defaultRowHeight="13.5"/>
  <cols>
    <col min="1" max="1" width="41.8515625" style="6" customWidth="1"/>
    <col min="2" max="2" width="2.7109375" style="6" customWidth="1"/>
    <col min="3" max="5" width="12.7109375" style="6" customWidth="1"/>
    <col min="6" max="6" width="14.00390625" style="6" customWidth="1"/>
    <col min="7" max="7" width="13.57421875" style="6" customWidth="1"/>
    <col min="8" max="12" width="12.7109375" style="6" customWidth="1"/>
    <col min="13" max="13" width="14.8515625" style="6" customWidth="1"/>
    <col min="14" max="14" width="10.421875" style="6" customWidth="1"/>
    <col min="15" max="16384" width="9.140625" style="6" customWidth="1"/>
  </cols>
  <sheetData>
    <row r="1" spans="1:13" ht="15.75">
      <c r="A1" s="380" t="s">
        <v>116</v>
      </c>
      <c r="B1" s="380"/>
      <c r="C1" s="380"/>
      <c r="D1" s="380"/>
      <c r="E1" s="380"/>
      <c r="F1" s="380"/>
      <c r="G1" s="380"/>
      <c r="H1" s="380"/>
      <c r="I1" s="380"/>
      <c r="J1" s="380"/>
      <c r="K1" s="380"/>
      <c r="L1" s="380"/>
      <c r="M1" s="380"/>
    </row>
    <row r="2" spans="1:13" ht="15.75">
      <c r="A2" s="37"/>
      <c r="B2" s="37"/>
      <c r="C2" s="37"/>
      <c r="D2" s="37"/>
      <c r="E2" s="37"/>
      <c r="F2" s="37"/>
      <c r="G2" s="37"/>
      <c r="H2" s="37"/>
      <c r="I2" s="37"/>
      <c r="J2" s="37"/>
      <c r="K2" s="37"/>
      <c r="L2" s="37"/>
      <c r="M2" s="37"/>
    </row>
    <row r="3" spans="1:13" ht="15.75">
      <c r="A3" s="381" t="s">
        <v>300</v>
      </c>
      <c r="B3" s="381"/>
      <c r="C3" s="381"/>
      <c r="D3" s="381"/>
      <c r="E3" s="381"/>
      <c r="F3" s="381"/>
      <c r="G3" s="381"/>
      <c r="H3" s="381"/>
      <c r="I3" s="381"/>
      <c r="J3" s="381"/>
      <c r="K3" s="381"/>
      <c r="L3" s="381"/>
      <c r="M3" s="381"/>
    </row>
    <row r="5" ht="15.75">
      <c r="A5" s="5" t="s">
        <v>71</v>
      </c>
    </row>
    <row r="7" spans="3:12" ht="15.75">
      <c r="C7" s="379" t="s">
        <v>122</v>
      </c>
      <c r="D7" s="379"/>
      <c r="E7" s="379"/>
      <c r="F7" s="379"/>
      <c r="G7" s="379"/>
      <c r="H7" s="379"/>
      <c r="I7" s="379"/>
      <c r="J7" s="12" t="s">
        <v>119</v>
      </c>
      <c r="K7" s="12"/>
      <c r="L7" s="12"/>
    </row>
    <row r="8" spans="3:13" ht="15.75">
      <c r="C8" s="7" t="s">
        <v>79</v>
      </c>
      <c r="D8" s="7" t="s">
        <v>126</v>
      </c>
      <c r="E8" s="7" t="s">
        <v>78</v>
      </c>
      <c r="F8" s="7" t="s">
        <v>75</v>
      </c>
      <c r="G8" s="7" t="s">
        <v>81</v>
      </c>
      <c r="H8" s="7" t="s">
        <v>76</v>
      </c>
      <c r="I8" s="7" t="s">
        <v>77</v>
      </c>
      <c r="J8" s="7" t="s">
        <v>87</v>
      </c>
      <c r="K8" s="7" t="s">
        <v>22</v>
      </c>
      <c r="L8" s="7" t="s">
        <v>222</v>
      </c>
      <c r="M8" s="7" t="s">
        <v>22</v>
      </c>
    </row>
    <row r="9" spans="3:13" ht="15.75">
      <c r="C9" s="7" t="s">
        <v>75</v>
      </c>
      <c r="D9" s="7" t="s">
        <v>127</v>
      </c>
      <c r="E9" s="7" t="s">
        <v>85</v>
      </c>
      <c r="F9" s="7" t="s">
        <v>80</v>
      </c>
      <c r="G9" s="7" t="s">
        <v>86</v>
      </c>
      <c r="H9" s="7" t="s">
        <v>82</v>
      </c>
      <c r="I9" s="7" t="s">
        <v>83</v>
      </c>
      <c r="J9" s="7" t="s">
        <v>84</v>
      </c>
      <c r="K9" s="7"/>
      <c r="L9" s="7" t="s">
        <v>214</v>
      </c>
      <c r="M9" s="7" t="s">
        <v>221</v>
      </c>
    </row>
    <row r="10" spans="3:13" ht="15.75">
      <c r="C10" s="7"/>
      <c r="D10" s="7"/>
      <c r="E10" s="7"/>
      <c r="F10" s="7" t="s">
        <v>86</v>
      </c>
      <c r="H10" s="7" t="s">
        <v>86</v>
      </c>
      <c r="I10" s="7" t="s">
        <v>86</v>
      </c>
      <c r="J10" s="7"/>
      <c r="K10" s="7"/>
      <c r="L10" s="7"/>
      <c r="M10" s="7"/>
    </row>
    <row r="11" spans="3:15" ht="15.75">
      <c r="C11" s="16"/>
      <c r="D11" s="16"/>
      <c r="E11" s="16"/>
      <c r="F11" s="16"/>
      <c r="G11" s="16"/>
      <c r="H11" s="16"/>
      <c r="I11" s="16"/>
      <c r="J11" s="16"/>
      <c r="K11" s="16"/>
      <c r="L11" s="16"/>
      <c r="M11" s="17"/>
      <c r="N11" s="16"/>
      <c r="O11" s="16"/>
    </row>
    <row r="12" spans="1:15" ht="18" customHeight="1">
      <c r="A12" s="5" t="s">
        <v>227</v>
      </c>
      <c r="C12" s="296">
        <v>383520</v>
      </c>
      <c r="D12" s="296">
        <v>-11443</v>
      </c>
      <c r="E12" s="296">
        <v>9812</v>
      </c>
      <c r="F12" s="296">
        <v>73</v>
      </c>
      <c r="G12" s="296">
        <v>55386</v>
      </c>
      <c r="H12" s="296">
        <v>2982</v>
      </c>
      <c r="I12" s="16">
        <v>-100</v>
      </c>
      <c r="J12" s="16">
        <v>242943</v>
      </c>
      <c r="K12" s="16">
        <f>SUM(C12:J12)</f>
        <v>683173</v>
      </c>
      <c r="L12" s="16">
        <v>95484</v>
      </c>
      <c r="M12" s="10">
        <f>K12+L12</f>
        <v>778657</v>
      </c>
      <c r="N12" s="16"/>
      <c r="O12" s="16"/>
    </row>
    <row r="13" spans="1:15" ht="18" customHeight="1">
      <c r="A13" s="5"/>
      <c r="C13" s="296"/>
      <c r="D13" s="296"/>
      <c r="E13" s="296"/>
      <c r="F13" s="296"/>
      <c r="G13" s="296"/>
      <c r="H13" s="296"/>
      <c r="I13" s="16"/>
      <c r="J13" s="16"/>
      <c r="K13" s="16"/>
      <c r="L13" s="16"/>
      <c r="M13" s="10"/>
      <c r="N13" s="16"/>
      <c r="O13" s="16"/>
    </row>
    <row r="14" spans="1:15" ht="15.75">
      <c r="A14" s="6" t="s">
        <v>216</v>
      </c>
      <c r="C14" s="297"/>
      <c r="D14" s="297"/>
      <c r="E14" s="297"/>
      <c r="F14" s="297"/>
      <c r="G14" s="297"/>
      <c r="H14" s="297"/>
      <c r="I14" s="18"/>
      <c r="J14" s="18"/>
      <c r="K14" s="18"/>
      <c r="L14" s="18"/>
      <c r="M14" s="19"/>
      <c r="N14" s="16"/>
      <c r="O14" s="16"/>
    </row>
    <row r="15" spans="1:13" ht="14.25" customHeight="1" hidden="1">
      <c r="A15" s="6" t="s">
        <v>88</v>
      </c>
      <c r="C15" s="298"/>
      <c r="D15" s="22"/>
      <c r="E15" s="22"/>
      <c r="F15" s="26"/>
      <c r="G15" s="26"/>
      <c r="H15" s="26"/>
      <c r="J15" s="9"/>
      <c r="K15" s="9"/>
      <c r="L15" s="9"/>
      <c r="M15" s="13">
        <f>SUM(C15:J15)</f>
        <v>0</v>
      </c>
    </row>
    <row r="16" spans="3:13" ht="15.75" hidden="1">
      <c r="C16" s="299"/>
      <c r="D16" s="22"/>
      <c r="E16" s="22"/>
      <c r="F16" s="26"/>
      <c r="G16" s="26"/>
      <c r="H16" s="26"/>
      <c r="J16" s="10"/>
      <c r="K16" s="10"/>
      <c r="L16" s="10"/>
      <c r="M16" s="14"/>
    </row>
    <row r="17" spans="1:13" ht="15.75" hidden="1">
      <c r="A17" s="6" t="s">
        <v>89</v>
      </c>
      <c r="C17" s="299"/>
      <c r="D17" s="22"/>
      <c r="E17" s="22"/>
      <c r="F17" s="26"/>
      <c r="G17" s="26"/>
      <c r="H17" s="26"/>
      <c r="J17" s="10"/>
      <c r="K17" s="10"/>
      <c r="L17" s="10"/>
      <c r="M17" s="14">
        <f>SUM(C17:J17)</f>
        <v>0</v>
      </c>
    </row>
    <row r="18" spans="1:13" ht="15.75" hidden="1">
      <c r="A18" s="6" t="s">
        <v>90</v>
      </c>
      <c r="C18" s="299"/>
      <c r="D18" s="22"/>
      <c r="E18" s="22"/>
      <c r="F18" s="26"/>
      <c r="G18" s="26"/>
      <c r="H18" s="26"/>
      <c r="J18" s="10"/>
      <c r="K18" s="10"/>
      <c r="L18" s="10"/>
      <c r="M18" s="14"/>
    </row>
    <row r="19" spans="3:13" ht="15.75">
      <c r="C19" s="299"/>
      <c r="D19" s="22"/>
      <c r="E19" s="22"/>
      <c r="F19" s="26"/>
      <c r="G19" s="26"/>
      <c r="H19" s="26"/>
      <c r="J19" s="10"/>
      <c r="K19" s="10"/>
      <c r="L19" s="10"/>
      <c r="M19" s="14"/>
    </row>
    <row r="20" spans="1:13" ht="15.75">
      <c r="A20" s="6" t="s">
        <v>91</v>
      </c>
      <c r="C20" s="299"/>
      <c r="D20" s="22"/>
      <c r="E20" s="22"/>
      <c r="F20" s="26"/>
      <c r="G20" s="26"/>
      <c r="H20" s="26">
        <v>243</v>
      </c>
      <c r="I20" s="6">
        <v>-83</v>
      </c>
      <c r="J20" s="10"/>
      <c r="K20" s="16">
        <f>SUM(C20:J20)</f>
        <v>160</v>
      </c>
      <c r="L20" s="10"/>
      <c r="M20" s="39">
        <f>K20+L20</f>
        <v>160</v>
      </c>
    </row>
    <row r="21" spans="1:13" ht="15.75">
      <c r="A21" s="6" t="s">
        <v>278</v>
      </c>
      <c r="C21" s="299"/>
      <c r="D21" s="22"/>
      <c r="E21" s="22"/>
      <c r="F21" s="26"/>
      <c r="G21" s="26">
        <v>28</v>
      </c>
      <c r="H21" s="26"/>
      <c r="J21" s="10"/>
      <c r="K21" s="16">
        <f>SUM(C21:J21)</f>
        <v>28</v>
      </c>
      <c r="L21" s="10"/>
      <c r="M21" s="39">
        <f>K21+L21</f>
        <v>28</v>
      </c>
    </row>
    <row r="22" spans="1:13" ht="15.75">
      <c r="A22" s="6" t="s">
        <v>296</v>
      </c>
      <c r="C22" s="299"/>
      <c r="D22" s="22">
        <v>5607</v>
      </c>
      <c r="E22" s="22"/>
      <c r="F22" s="26"/>
      <c r="G22" s="26"/>
      <c r="H22" s="26"/>
      <c r="K22" s="16">
        <f>SUM(C22:J22)</f>
        <v>5607</v>
      </c>
      <c r="L22" s="10"/>
      <c r="M22" s="39">
        <f>K22+L22</f>
        <v>5607</v>
      </c>
    </row>
    <row r="23" spans="1:13" ht="15.75">
      <c r="A23" s="6" t="s">
        <v>297</v>
      </c>
      <c r="C23" s="299"/>
      <c r="D23" s="22"/>
      <c r="E23" s="22"/>
      <c r="F23" s="26"/>
      <c r="G23" s="26"/>
      <c r="H23" s="26"/>
      <c r="J23" s="10">
        <v>3410</v>
      </c>
      <c r="K23" s="16">
        <f>SUM(C23:J23)</f>
        <v>3410</v>
      </c>
      <c r="L23" s="10"/>
      <c r="M23" s="39">
        <f>K23+L23</f>
        <v>3410</v>
      </c>
    </row>
    <row r="24" spans="3:13" ht="15.75">
      <c r="C24" s="300"/>
      <c r="D24" s="31"/>
      <c r="E24" s="31"/>
      <c r="F24" s="31"/>
      <c r="G24" s="31"/>
      <c r="H24" s="31"/>
      <c r="I24" s="8"/>
      <c r="J24" s="8"/>
      <c r="K24" s="8"/>
      <c r="L24" s="8"/>
      <c r="M24" s="15"/>
    </row>
    <row r="25" spans="1:13" ht="15.75">
      <c r="A25" s="6" t="s">
        <v>92</v>
      </c>
      <c r="C25" s="26"/>
      <c r="D25" s="26"/>
      <c r="E25" s="26"/>
      <c r="F25" s="26"/>
      <c r="G25" s="26"/>
      <c r="H25" s="26"/>
      <c r="M25" s="2"/>
    </row>
    <row r="26" spans="1:13" ht="15.75">
      <c r="A26" s="6" t="s">
        <v>93</v>
      </c>
      <c r="C26" s="301">
        <f>SUM(C15:C24)</f>
        <v>0</v>
      </c>
      <c r="D26" s="26">
        <f>SUM(D15:D24)</f>
        <v>5607</v>
      </c>
      <c r="E26" s="301"/>
      <c r="F26" s="301">
        <f>SUM(F15:F24)</f>
        <v>0</v>
      </c>
      <c r="G26" s="26">
        <f>SUM(G15:G24)</f>
        <v>28</v>
      </c>
      <c r="H26" s="26">
        <f>SUM(H15:H24)</f>
        <v>243</v>
      </c>
      <c r="I26" s="26">
        <f>SUM(I15:I24)</f>
        <v>-83</v>
      </c>
      <c r="J26" s="26">
        <f>SUM(J15:J24)</f>
        <v>3410</v>
      </c>
      <c r="K26" s="16">
        <f>SUM(K20:K23)</f>
        <v>9205</v>
      </c>
      <c r="L26" s="16">
        <f>L20</f>
        <v>0</v>
      </c>
      <c r="M26" s="10">
        <f>SUM(M20:M23)</f>
        <v>9205</v>
      </c>
    </row>
    <row r="27" spans="3:8" ht="15.75">
      <c r="C27" s="26"/>
      <c r="D27" s="26"/>
      <c r="E27" s="26"/>
      <c r="F27" s="26"/>
      <c r="G27" s="26"/>
      <c r="H27" s="26"/>
    </row>
    <row r="28" spans="1:13" ht="15.75">
      <c r="A28" s="6" t="s">
        <v>225</v>
      </c>
      <c r="C28" s="26">
        <v>8128</v>
      </c>
      <c r="D28" s="26"/>
      <c r="E28" s="26">
        <v>2963</v>
      </c>
      <c r="F28" s="26"/>
      <c r="G28" s="26"/>
      <c r="H28" s="26"/>
      <c r="K28" s="16">
        <f>SUM(C28:J28)</f>
        <v>11091</v>
      </c>
      <c r="M28" s="10">
        <f>K28+L28</f>
        <v>11091</v>
      </c>
    </row>
    <row r="29" spans="3:8" ht="15.75">
      <c r="C29" s="26"/>
      <c r="D29" s="26"/>
      <c r="E29" s="26"/>
      <c r="F29" s="26"/>
      <c r="G29" s="26"/>
      <c r="H29" s="26"/>
    </row>
    <row r="30" spans="1:15" ht="15.75">
      <c r="A30" s="6" t="s">
        <v>223</v>
      </c>
      <c r="C30" s="31"/>
      <c r="D30" s="31"/>
      <c r="E30" s="31"/>
      <c r="F30" s="31"/>
      <c r="G30" s="31"/>
      <c r="H30" s="31"/>
      <c r="I30" s="8"/>
      <c r="J30" s="8">
        <f>pl!F48</f>
        <v>64839</v>
      </c>
      <c r="K30" s="18">
        <f>SUM(C30:J30)</f>
        <v>64839</v>
      </c>
      <c r="L30" s="8">
        <f>pl!F49</f>
        <v>8155</v>
      </c>
      <c r="M30" s="31">
        <f>K30+L30</f>
        <v>72994</v>
      </c>
      <c r="N30" s="26"/>
      <c r="O30" s="26"/>
    </row>
    <row r="31" spans="3:13" ht="7.5" customHeight="1">
      <c r="C31" s="26"/>
      <c r="D31" s="26"/>
      <c r="E31" s="26"/>
      <c r="F31" s="26"/>
      <c r="G31" s="26"/>
      <c r="H31" s="26"/>
      <c r="M31" s="2"/>
    </row>
    <row r="32" spans="1:13" ht="15.75">
      <c r="A32" s="6" t="s">
        <v>226</v>
      </c>
      <c r="C32" s="26">
        <f>SUM(C26:C30)</f>
        <v>8128</v>
      </c>
      <c r="D32" s="26">
        <f>SUM(D26:D30)</f>
        <v>5607</v>
      </c>
      <c r="E32" s="26">
        <f>SUM(E26:E30)</f>
        <v>2963</v>
      </c>
      <c r="F32" s="26"/>
      <c r="G32" s="26">
        <f aca="true" t="shared" si="0" ref="G32:M32">SUM(G26:G30)</f>
        <v>28</v>
      </c>
      <c r="H32" s="26">
        <f t="shared" si="0"/>
        <v>243</v>
      </c>
      <c r="I32" s="6">
        <f t="shared" si="0"/>
        <v>-83</v>
      </c>
      <c r="J32" s="6">
        <f t="shared" si="0"/>
        <v>68249</v>
      </c>
      <c r="K32" s="16">
        <f>SUM(K26:K30)</f>
        <v>85135</v>
      </c>
      <c r="L32" s="6">
        <f t="shared" si="0"/>
        <v>8155</v>
      </c>
      <c r="M32" s="6">
        <f t="shared" si="0"/>
        <v>93290</v>
      </c>
    </row>
    <row r="33" spans="1:13" ht="15.75">
      <c r="A33" s="6" t="s">
        <v>224</v>
      </c>
      <c r="C33" s="26"/>
      <c r="D33" s="26"/>
      <c r="E33" s="26"/>
      <c r="F33" s="26"/>
      <c r="G33" s="26"/>
      <c r="H33" s="26"/>
      <c r="M33" s="2"/>
    </row>
    <row r="34" spans="3:13" ht="15.75">
      <c r="C34" s="26"/>
      <c r="D34" s="26"/>
      <c r="E34" s="26"/>
      <c r="F34" s="26"/>
      <c r="G34" s="26"/>
      <c r="H34" s="26"/>
      <c r="M34" s="2"/>
    </row>
    <row r="35" spans="1:13" ht="15.75">
      <c r="A35" s="6" t="s">
        <v>124</v>
      </c>
      <c r="C35" s="26"/>
      <c r="D35" s="26"/>
      <c r="E35" s="26"/>
      <c r="F35" s="26"/>
      <c r="G35" s="26"/>
      <c r="H35" s="26"/>
      <c r="J35" s="6">
        <v>-44607</v>
      </c>
      <c r="K35" s="16">
        <f>SUM(C35:J35)</f>
        <v>-44607</v>
      </c>
      <c r="L35" s="6">
        <v>-4434</v>
      </c>
      <c r="M35" s="10">
        <f>K35+L35</f>
        <v>-49041</v>
      </c>
    </row>
    <row r="36" spans="3:13" ht="15.75">
      <c r="C36" s="31"/>
      <c r="D36" s="31"/>
      <c r="E36" s="31"/>
      <c r="F36" s="31"/>
      <c r="G36" s="31"/>
      <c r="H36" s="31"/>
      <c r="I36" s="8"/>
      <c r="J36" s="8"/>
      <c r="K36" s="8"/>
      <c r="L36" s="8"/>
      <c r="M36" s="8"/>
    </row>
    <row r="37" spans="1:13" ht="15.75">
      <c r="A37" s="2"/>
      <c r="B37" s="2"/>
      <c r="C37" s="26"/>
      <c r="D37" s="26"/>
      <c r="E37" s="26"/>
      <c r="F37" s="26"/>
      <c r="G37" s="26"/>
      <c r="H37" s="26"/>
      <c r="M37" s="10"/>
    </row>
    <row r="38" spans="1:15" ht="16.5" thickBot="1">
      <c r="A38" s="1" t="s">
        <v>274</v>
      </c>
      <c r="B38" s="2"/>
      <c r="C38" s="32">
        <f>C12+SUM(C32:C36)</f>
        <v>391648</v>
      </c>
      <c r="D38" s="32">
        <f aca="true" t="shared" si="1" ref="D38:L38">D12+SUM(D32:D36)</f>
        <v>-5836</v>
      </c>
      <c r="E38" s="32">
        <f t="shared" si="1"/>
        <v>12775</v>
      </c>
      <c r="F38" s="32">
        <f t="shared" si="1"/>
        <v>73</v>
      </c>
      <c r="G38" s="32">
        <f t="shared" si="1"/>
        <v>55414</v>
      </c>
      <c r="H38" s="32">
        <f t="shared" si="1"/>
        <v>3225</v>
      </c>
      <c r="I38" s="11">
        <f t="shared" si="1"/>
        <v>-183</v>
      </c>
      <c r="J38" s="11">
        <f>J12+SUM(J32:J36)</f>
        <v>266585</v>
      </c>
      <c r="K38" s="11">
        <f t="shared" si="1"/>
        <v>723701</v>
      </c>
      <c r="L38" s="11">
        <f t="shared" si="1"/>
        <v>99205</v>
      </c>
      <c r="M38" s="11">
        <f>K38+L38</f>
        <v>822906</v>
      </c>
      <c r="N38" s="10"/>
      <c r="O38" s="10"/>
    </row>
    <row r="39" spans="1:15" ht="16.5" thickTop="1">
      <c r="A39" s="2"/>
      <c r="B39" s="2"/>
      <c r="C39" s="10"/>
      <c r="D39" s="10"/>
      <c r="E39" s="10"/>
      <c r="F39" s="10"/>
      <c r="G39" s="10"/>
      <c r="H39" s="10"/>
      <c r="I39" s="10"/>
      <c r="J39" s="10"/>
      <c r="K39" s="10"/>
      <c r="L39" s="10"/>
      <c r="M39" s="10"/>
      <c r="N39" s="10"/>
      <c r="O39" s="10"/>
    </row>
    <row r="40" spans="1:13" ht="15.75">
      <c r="A40" s="2"/>
      <c r="B40" s="2"/>
      <c r="K40" s="10"/>
      <c r="L40" s="10"/>
      <c r="M40" s="10"/>
    </row>
    <row r="41" spans="1:13" ht="15.75">
      <c r="A41" s="2"/>
      <c r="B41" s="2"/>
      <c r="C41" s="2"/>
      <c r="D41" s="2"/>
      <c r="E41" s="2"/>
      <c r="F41" s="2"/>
      <c r="G41" s="2"/>
      <c r="H41" s="2"/>
      <c r="I41" s="2"/>
      <c r="J41" s="2"/>
      <c r="K41" s="2"/>
      <c r="L41" s="2"/>
      <c r="M41" s="2"/>
    </row>
  </sheetData>
  <mergeCells count="3">
    <mergeCell ref="C7:I7"/>
    <mergeCell ref="A1:M1"/>
    <mergeCell ref="A3:M3"/>
  </mergeCells>
  <printOptions horizontalCentered="1" verticalCentered="1"/>
  <pageMargins left="0.75" right="0.75" top="1" bottom="1" header="0.5" footer="0.5"/>
  <pageSetup horizontalDpi="300" verticalDpi="3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tabSelected="1" zoomScale="75" zoomScaleNormal="75" workbookViewId="0" topLeftCell="A1">
      <selection activeCell="H16" sqref="H16"/>
    </sheetView>
  </sheetViews>
  <sheetFormatPr defaultColWidth="9.140625" defaultRowHeight="13.5"/>
  <cols>
    <col min="1" max="1" width="9.140625" style="313" customWidth="1"/>
    <col min="2" max="2" width="64.57421875" style="313" customWidth="1"/>
    <col min="3" max="3" width="24.140625" style="313" customWidth="1"/>
    <col min="4" max="4" width="5.57421875" style="313" customWidth="1"/>
    <col min="5" max="5" width="24.28125" style="313" customWidth="1"/>
    <col min="6" max="16384" width="9.140625" style="313" customWidth="1"/>
  </cols>
  <sheetData>
    <row r="1" spans="1:13" ht="20.25">
      <c r="A1" s="382" t="s">
        <v>0</v>
      </c>
      <c r="B1" s="382"/>
      <c r="C1" s="382"/>
      <c r="D1" s="382"/>
      <c r="E1" s="382"/>
      <c r="F1" s="382"/>
      <c r="G1" s="382"/>
      <c r="H1" s="382"/>
      <c r="I1" s="382"/>
      <c r="J1" s="382"/>
      <c r="K1" s="382"/>
      <c r="L1" s="382"/>
      <c r="M1" s="382"/>
    </row>
    <row r="2" spans="1:13" ht="20.25">
      <c r="A2" s="235"/>
      <c r="B2" s="235"/>
      <c r="C2" s="235"/>
      <c r="D2" s="235"/>
      <c r="E2" s="235"/>
      <c r="F2" s="235"/>
      <c r="G2" s="235"/>
      <c r="H2" s="235"/>
      <c r="I2" s="235"/>
      <c r="J2" s="235"/>
      <c r="K2" s="235"/>
      <c r="L2" s="235"/>
      <c r="M2" s="235"/>
    </row>
    <row r="3" spans="1:12" ht="20.25">
      <c r="A3" s="383" t="s">
        <v>302</v>
      </c>
      <c r="B3" s="383"/>
      <c r="C3" s="383"/>
      <c r="D3" s="383"/>
      <c r="E3" s="383"/>
      <c r="F3" s="383"/>
      <c r="G3" s="383"/>
      <c r="H3" s="383"/>
      <c r="I3" s="383"/>
      <c r="J3" s="383"/>
      <c r="K3" s="383"/>
      <c r="L3" s="383"/>
    </row>
    <row r="6" ht="20.25">
      <c r="A6" s="314" t="s">
        <v>71</v>
      </c>
    </row>
    <row r="7" spans="3:5" ht="20.25">
      <c r="C7" s="221" t="s">
        <v>270</v>
      </c>
      <c r="D7" s="315"/>
      <c r="E7" s="222" t="s">
        <v>165</v>
      </c>
    </row>
    <row r="8" spans="3:5" ht="20.25">
      <c r="C8" s="223" t="s">
        <v>271</v>
      </c>
      <c r="D8" s="315"/>
      <c r="E8" s="223" t="s">
        <v>168</v>
      </c>
    </row>
    <row r="11" spans="2:6" ht="20.25">
      <c r="B11" s="316" t="s">
        <v>263</v>
      </c>
      <c r="C11" s="226">
        <v>20886</v>
      </c>
      <c r="D11" s="226"/>
      <c r="E11" s="224">
        <v>61057</v>
      </c>
      <c r="F11" s="317"/>
    </row>
    <row r="12" spans="3:6" ht="20.25">
      <c r="C12" s="317"/>
      <c r="D12" s="317"/>
      <c r="E12" s="317"/>
      <c r="F12" s="317"/>
    </row>
    <row r="13" spans="2:6" ht="20.25">
      <c r="B13" s="313" t="s">
        <v>264</v>
      </c>
      <c r="C13" s="317">
        <v>60420</v>
      </c>
      <c r="D13" s="317"/>
      <c r="E13" s="317">
        <v>-196845</v>
      </c>
      <c r="F13" s="317"/>
    </row>
    <row r="14" spans="3:6" ht="20.25">
      <c r="C14" s="317"/>
      <c r="D14" s="317"/>
      <c r="E14" s="317"/>
      <c r="F14" s="317"/>
    </row>
    <row r="15" spans="2:6" ht="20.25">
      <c r="B15" s="316" t="s">
        <v>149</v>
      </c>
      <c r="C15" s="225">
        <v>27263</v>
      </c>
      <c r="D15" s="226"/>
      <c r="E15" s="224">
        <v>72177</v>
      </c>
      <c r="F15" s="317"/>
    </row>
    <row r="16" spans="3:6" ht="20.25">
      <c r="C16" s="318"/>
      <c r="D16" s="318"/>
      <c r="E16" s="318"/>
      <c r="F16" s="317"/>
    </row>
    <row r="17" spans="3:6" ht="20.25">
      <c r="C17" s="317"/>
      <c r="D17" s="317"/>
      <c r="E17" s="317"/>
      <c r="F17" s="317"/>
    </row>
    <row r="18" spans="2:6" ht="20.25">
      <c r="B18" s="313" t="s">
        <v>265</v>
      </c>
      <c r="C18" s="317">
        <f>SUM(C11:C15)</f>
        <v>108569</v>
      </c>
      <c r="D18" s="317"/>
      <c r="E18" s="317">
        <f>SUM(E11:E15)</f>
        <v>-63611</v>
      </c>
      <c r="F18" s="317"/>
    </row>
    <row r="19" spans="3:6" ht="20.25">
      <c r="C19" s="317"/>
      <c r="D19" s="317"/>
      <c r="E19" s="317"/>
      <c r="F19" s="317"/>
    </row>
    <row r="20" spans="2:6" ht="20.25">
      <c r="B20" s="316" t="s">
        <v>254</v>
      </c>
      <c r="C20" s="226">
        <f>'[2]CashFlow up '!D55</f>
        <v>295521</v>
      </c>
      <c r="D20" s="226"/>
      <c r="E20" s="224">
        <v>359132</v>
      </c>
      <c r="F20" s="317"/>
    </row>
    <row r="21" spans="3:6" ht="20.25">
      <c r="C21" s="317"/>
      <c r="D21" s="317"/>
      <c r="E21" s="317"/>
      <c r="F21" s="317"/>
    </row>
    <row r="22" spans="2:6" ht="21" thickBot="1">
      <c r="B22" s="316" t="s">
        <v>301</v>
      </c>
      <c r="C22" s="227">
        <f>SUM(C18:C20)</f>
        <v>404090</v>
      </c>
      <c r="D22" s="227"/>
      <c r="E22" s="228">
        <f>SUM(E18:E20)</f>
        <v>295521</v>
      </c>
      <c r="F22" s="317"/>
    </row>
    <row r="23" ht="21" thickTop="1"/>
    <row r="25" ht="20.25">
      <c r="B25" s="313" t="s">
        <v>255</v>
      </c>
    </row>
    <row r="26" ht="20.25">
      <c r="B26" s="313" t="s">
        <v>256</v>
      </c>
    </row>
  </sheetData>
  <mergeCells count="2">
    <mergeCell ref="A1:M1"/>
    <mergeCell ref="A3:L3"/>
  </mergeCells>
  <printOptions/>
  <pageMargins left="0.75" right="0.75" top="1" bottom="1" header="0.5" footer="0.5"/>
  <pageSetup fitToHeight="1" fitToWidth="1"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dimension ref="A1:Q349"/>
  <sheetViews>
    <sheetView view="pageBreakPreview" zoomScale="75" zoomScaleNormal="75" zoomScaleSheetLayoutView="75" workbookViewId="0" topLeftCell="A98">
      <selection activeCell="H20" sqref="H20"/>
    </sheetView>
  </sheetViews>
  <sheetFormatPr defaultColWidth="9.140625" defaultRowHeight="13.5"/>
  <cols>
    <col min="1" max="1" width="4.7109375" style="4" customWidth="1"/>
    <col min="2" max="2" width="5.8515625" style="4" customWidth="1"/>
    <col min="3" max="3" width="30.7109375" style="4" customWidth="1"/>
    <col min="4" max="5" width="19.140625" style="4" customWidth="1"/>
    <col min="6" max="6" width="20.00390625" style="4" customWidth="1"/>
    <col min="7" max="7" width="18.8515625" style="4" customWidth="1"/>
    <col min="8" max="8" width="26.8515625" style="4" bestFit="1" customWidth="1"/>
    <col min="9" max="9" width="23.28125" style="4" bestFit="1" customWidth="1"/>
    <col min="10" max="10" width="12.00390625" style="4" customWidth="1"/>
    <col min="11" max="11" width="1.7109375" style="4" hidden="1" customWidth="1"/>
    <col min="12" max="12" width="18.28125" style="4" hidden="1" customWidth="1"/>
    <col min="13" max="13" width="11.00390625" style="4" bestFit="1" customWidth="1"/>
    <col min="14" max="14" width="12.57421875" style="4" customWidth="1"/>
    <col min="15" max="16384" width="9.140625" style="4" customWidth="1"/>
  </cols>
  <sheetData>
    <row r="1" spans="1:13" ht="18.75">
      <c r="A1" s="355"/>
      <c r="B1" s="360"/>
      <c r="C1" s="360"/>
      <c r="D1" s="360"/>
      <c r="E1" s="360"/>
      <c r="F1" s="360"/>
      <c r="G1" s="360"/>
      <c r="H1" s="360"/>
      <c r="I1" s="360"/>
      <c r="J1" s="360"/>
      <c r="K1" s="360"/>
      <c r="L1" s="360"/>
      <c r="M1" s="54"/>
    </row>
    <row r="2" spans="1:13" ht="18.75">
      <c r="A2" s="355" t="s">
        <v>1</v>
      </c>
      <c r="B2" s="360"/>
      <c r="C2" s="360"/>
      <c r="D2" s="360"/>
      <c r="E2" s="360"/>
      <c r="F2" s="360"/>
      <c r="G2" s="360"/>
      <c r="H2" s="360"/>
      <c r="I2" s="360"/>
      <c r="J2" s="360"/>
      <c r="K2" s="360"/>
      <c r="L2" s="360"/>
      <c r="M2" s="54"/>
    </row>
    <row r="3" spans="1:13" ht="18.75">
      <c r="A3" s="54"/>
      <c r="B3" s="54"/>
      <c r="C3" s="54"/>
      <c r="D3" s="54"/>
      <c r="E3" s="54"/>
      <c r="F3" s="54"/>
      <c r="G3" s="54"/>
      <c r="H3" s="54"/>
      <c r="I3" s="54"/>
      <c r="J3" s="54"/>
      <c r="K3" s="54"/>
      <c r="L3" s="54"/>
      <c r="M3" s="54"/>
    </row>
    <row r="4" spans="1:13" ht="18.75">
      <c r="A4" s="55" t="s">
        <v>12</v>
      </c>
      <c r="B4" s="54"/>
      <c r="C4" s="54"/>
      <c r="D4" s="54"/>
      <c r="E4" s="54"/>
      <c r="F4" s="54"/>
      <c r="G4" s="54"/>
      <c r="H4" s="54"/>
      <c r="I4" s="54"/>
      <c r="J4" s="54"/>
      <c r="K4" s="54"/>
      <c r="L4" s="54"/>
      <c r="M4" s="54"/>
    </row>
    <row r="5" spans="1:13" ht="18.75">
      <c r="A5" s="54"/>
      <c r="B5" s="54"/>
      <c r="C5" s="54"/>
      <c r="D5" s="54"/>
      <c r="E5" s="54"/>
      <c r="F5" s="54"/>
      <c r="G5" s="54"/>
      <c r="H5" s="54"/>
      <c r="I5" s="54"/>
      <c r="J5" s="54"/>
      <c r="K5" s="54"/>
      <c r="L5" s="54"/>
      <c r="M5" s="54"/>
    </row>
    <row r="6" spans="1:13" ht="18.75">
      <c r="A6" s="54"/>
      <c r="B6" s="54"/>
      <c r="C6" s="54"/>
      <c r="D6" s="54"/>
      <c r="E6" s="54"/>
      <c r="F6" s="54"/>
      <c r="G6" s="54"/>
      <c r="H6" s="54"/>
      <c r="I6" s="54"/>
      <c r="J6" s="54"/>
      <c r="K6" s="54"/>
      <c r="L6" s="54"/>
      <c r="M6" s="54"/>
    </row>
    <row r="7" spans="1:13" ht="18.75">
      <c r="A7" s="55">
        <v>1</v>
      </c>
      <c r="B7" s="55"/>
      <c r="C7" s="55" t="s">
        <v>121</v>
      </c>
      <c r="D7" s="54"/>
      <c r="E7" s="54"/>
      <c r="F7" s="54"/>
      <c r="G7" s="54"/>
      <c r="H7" s="54"/>
      <c r="I7" s="54"/>
      <c r="J7" s="54"/>
      <c r="K7" s="54"/>
      <c r="L7" s="54"/>
      <c r="M7" s="54"/>
    </row>
    <row r="8" spans="1:13" ht="70.5" customHeight="1">
      <c r="A8" s="54"/>
      <c r="B8" s="54"/>
      <c r="C8" s="348" t="s">
        <v>248</v>
      </c>
      <c r="D8" s="348"/>
      <c r="E8" s="348"/>
      <c r="F8" s="348"/>
      <c r="G8" s="348"/>
      <c r="H8" s="348"/>
      <c r="I8" s="348"/>
      <c r="J8" s="348"/>
      <c r="K8" s="348"/>
      <c r="L8" s="348"/>
      <c r="M8" s="54"/>
    </row>
    <row r="9" spans="1:13" ht="51" customHeight="1">
      <c r="A9" s="54"/>
      <c r="B9" s="54"/>
      <c r="C9" s="348" t="s">
        <v>233</v>
      </c>
      <c r="D9" s="348"/>
      <c r="E9" s="348"/>
      <c r="F9" s="348"/>
      <c r="G9" s="348"/>
      <c r="H9" s="348"/>
      <c r="I9" s="348"/>
      <c r="J9" s="348"/>
      <c r="K9" s="348"/>
      <c r="L9" s="348"/>
      <c r="M9" s="54"/>
    </row>
    <row r="10" spans="1:13" ht="73.5" customHeight="1">
      <c r="A10" s="54"/>
      <c r="B10" s="54"/>
      <c r="C10" s="348" t="s">
        <v>249</v>
      </c>
      <c r="D10" s="348"/>
      <c r="E10" s="348"/>
      <c r="F10" s="348"/>
      <c r="G10" s="348"/>
      <c r="H10" s="348"/>
      <c r="I10" s="348"/>
      <c r="J10" s="348"/>
      <c r="K10" s="348"/>
      <c r="L10" s="348"/>
      <c r="M10" s="54"/>
    </row>
    <row r="11" spans="1:13" ht="83.25" customHeight="1">
      <c r="A11" s="54"/>
      <c r="B11" s="54"/>
      <c r="C11" s="348" t="s">
        <v>258</v>
      </c>
      <c r="D11" s="348"/>
      <c r="E11" s="348"/>
      <c r="F11" s="348"/>
      <c r="G11" s="348"/>
      <c r="H11" s="348"/>
      <c r="I11" s="348"/>
      <c r="J11" s="348"/>
      <c r="K11" s="348"/>
      <c r="L11" s="348"/>
      <c r="M11" s="54"/>
    </row>
    <row r="12" spans="1:13" ht="27" customHeight="1">
      <c r="A12" s="54"/>
      <c r="B12" s="54"/>
      <c r="C12" s="229"/>
      <c r="D12" s="229"/>
      <c r="E12" s="229"/>
      <c r="F12" s="229"/>
      <c r="G12" s="229"/>
      <c r="H12" s="229"/>
      <c r="I12" s="229"/>
      <c r="J12" s="229"/>
      <c r="K12" s="229"/>
      <c r="L12" s="229"/>
      <c r="M12" s="54"/>
    </row>
    <row r="13" spans="1:13" ht="19.5" customHeight="1">
      <c r="A13" s="55">
        <v>2</v>
      </c>
      <c r="B13" s="54"/>
      <c r="C13" s="395" t="s">
        <v>237</v>
      </c>
      <c r="D13" s="395"/>
      <c r="E13" s="395"/>
      <c r="F13" s="395"/>
      <c r="G13" s="395"/>
      <c r="H13" s="395"/>
      <c r="I13" s="395"/>
      <c r="J13" s="395"/>
      <c r="K13" s="395"/>
      <c r="L13" s="395"/>
      <c r="M13" s="54"/>
    </row>
    <row r="14" spans="1:13" ht="48.75" customHeight="1">
      <c r="A14" s="54"/>
      <c r="B14" s="56" t="s">
        <v>14</v>
      </c>
      <c r="C14" s="348" t="s">
        <v>257</v>
      </c>
      <c r="D14" s="348"/>
      <c r="E14" s="348"/>
      <c r="F14" s="348"/>
      <c r="G14" s="348"/>
      <c r="H14" s="348"/>
      <c r="I14" s="348"/>
      <c r="J14" s="348"/>
      <c r="K14" s="348"/>
      <c r="L14" s="348"/>
      <c r="M14" s="54"/>
    </row>
    <row r="15" spans="1:13" ht="24" customHeight="1">
      <c r="A15" s="54"/>
      <c r="B15" s="57"/>
      <c r="C15" s="398" t="s">
        <v>246</v>
      </c>
      <c r="D15" s="399"/>
      <c r="E15" s="399"/>
      <c r="F15" s="399"/>
      <c r="G15" s="399"/>
      <c r="H15" s="399"/>
      <c r="I15" s="399"/>
      <c r="J15" s="399"/>
      <c r="K15" s="399"/>
      <c r="L15" s="399"/>
      <c r="M15" s="54"/>
    </row>
    <row r="16" spans="1:13" ht="45" customHeight="1">
      <c r="A16" s="54"/>
      <c r="B16" s="57"/>
      <c r="C16" s="348" t="s">
        <v>244</v>
      </c>
      <c r="D16" s="348"/>
      <c r="E16" s="348"/>
      <c r="F16" s="348"/>
      <c r="G16" s="348"/>
      <c r="H16" s="348"/>
      <c r="I16" s="348"/>
      <c r="J16" s="348"/>
      <c r="K16" s="348"/>
      <c r="L16" s="348"/>
      <c r="M16" s="54"/>
    </row>
    <row r="17" spans="1:13" ht="21.75" customHeight="1">
      <c r="A17" s="54"/>
      <c r="B17" s="57"/>
      <c r="C17" s="319"/>
      <c r="D17" s="400"/>
      <c r="E17" s="400"/>
      <c r="F17" s="320"/>
      <c r="G17" s="320"/>
      <c r="H17" s="320"/>
      <c r="I17" s="320"/>
      <c r="J17" s="320"/>
      <c r="K17" s="320"/>
      <c r="L17" s="320"/>
      <c r="M17" s="54"/>
    </row>
    <row r="18" spans="1:13" ht="41.25" customHeight="1">
      <c r="A18" s="54"/>
      <c r="B18" s="57"/>
      <c r="C18" s="321" t="s">
        <v>247</v>
      </c>
      <c r="D18" s="60" t="s">
        <v>242</v>
      </c>
      <c r="E18" s="61" t="s">
        <v>245</v>
      </c>
      <c r="F18" s="229"/>
      <c r="G18" s="229"/>
      <c r="H18" s="229"/>
      <c r="I18" s="229"/>
      <c r="J18" s="229"/>
      <c r="K18" s="229"/>
      <c r="L18" s="229"/>
      <c r="M18" s="54"/>
    </row>
    <row r="19" spans="1:13" ht="18.75">
      <c r="A19" s="54"/>
      <c r="B19" s="57"/>
      <c r="C19" s="322"/>
      <c r="D19" s="393" t="s">
        <v>9</v>
      </c>
      <c r="E19" s="394"/>
      <c r="F19" s="229"/>
      <c r="G19" s="229"/>
      <c r="H19" s="229"/>
      <c r="I19" s="229"/>
      <c r="J19" s="229"/>
      <c r="K19" s="229"/>
      <c r="L19" s="229"/>
      <c r="M19" s="54"/>
    </row>
    <row r="20" spans="1:13" ht="24" customHeight="1">
      <c r="A20" s="54"/>
      <c r="B20" s="54"/>
      <c r="C20" s="322" t="s">
        <v>227</v>
      </c>
      <c r="D20" s="323"/>
      <c r="E20" s="324"/>
      <c r="F20" s="325"/>
      <c r="G20" s="229"/>
      <c r="H20" s="229"/>
      <c r="I20" s="229"/>
      <c r="J20" s="229"/>
      <c r="K20" s="229"/>
      <c r="L20" s="229"/>
      <c r="M20" s="54"/>
    </row>
    <row r="21" spans="1:13" ht="24" customHeight="1">
      <c r="A21" s="54"/>
      <c r="B21" s="54"/>
      <c r="C21" s="322" t="s">
        <v>250</v>
      </c>
      <c r="D21" s="62">
        <v>54610</v>
      </c>
      <c r="E21" s="63">
        <v>137870</v>
      </c>
      <c r="F21" s="229"/>
      <c r="G21" s="229"/>
      <c r="H21" s="229"/>
      <c r="I21" s="229"/>
      <c r="J21" s="229"/>
      <c r="K21" s="229"/>
      <c r="L21" s="229"/>
      <c r="M21" s="54"/>
    </row>
    <row r="22" spans="1:13" ht="37.5">
      <c r="A22" s="54"/>
      <c r="B22" s="54"/>
      <c r="C22" s="322" t="s">
        <v>251</v>
      </c>
      <c r="D22" s="62">
        <v>2885</v>
      </c>
      <c r="E22" s="63">
        <v>2885</v>
      </c>
      <c r="F22" s="229"/>
      <c r="G22" s="229"/>
      <c r="H22" s="229"/>
      <c r="I22" s="229"/>
      <c r="J22" s="229"/>
      <c r="K22" s="229"/>
      <c r="L22" s="229"/>
      <c r="M22" s="54"/>
    </row>
    <row r="23" spans="1:13" ht="37.5">
      <c r="A23" s="54"/>
      <c r="B23" s="54"/>
      <c r="C23" s="326" t="s">
        <v>243</v>
      </c>
      <c r="D23" s="187">
        <f>SUM(D21:D22)</f>
        <v>57495</v>
      </c>
      <c r="E23" s="327">
        <f>SUM(E21:E22)</f>
        <v>140755</v>
      </c>
      <c r="F23" s="229"/>
      <c r="G23" s="229"/>
      <c r="H23" s="229"/>
      <c r="I23" s="229"/>
      <c r="J23" s="229"/>
      <c r="K23" s="229"/>
      <c r="L23" s="229"/>
      <c r="M23" s="54"/>
    </row>
    <row r="24" spans="1:13" ht="19.5" customHeight="1">
      <c r="A24" s="54"/>
      <c r="B24" s="57"/>
      <c r="C24" s="348"/>
      <c r="D24" s="348"/>
      <c r="E24" s="348"/>
      <c r="F24" s="348"/>
      <c r="G24" s="348"/>
      <c r="H24" s="348"/>
      <c r="I24" s="348"/>
      <c r="J24" s="348"/>
      <c r="K24" s="348"/>
      <c r="L24" s="348"/>
      <c r="M24" s="54"/>
    </row>
    <row r="25" spans="1:13" ht="4.5" customHeight="1">
      <c r="A25" s="54"/>
      <c r="B25" s="56"/>
      <c r="C25" s="229"/>
      <c r="D25" s="229"/>
      <c r="E25" s="229"/>
      <c r="F25" s="229"/>
      <c r="G25" s="229"/>
      <c r="H25" s="229"/>
      <c r="I25" s="229"/>
      <c r="J25" s="229"/>
      <c r="K25" s="229"/>
      <c r="L25" s="229"/>
      <c r="M25" s="54"/>
    </row>
    <row r="26" spans="1:13" ht="105.75" customHeight="1">
      <c r="A26" s="54"/>
      <c r="B26" s="56" t="s">
        <v>16</v>
      </c>
      <c r="C26" s="348" t="s">
        <v>235</v>
      </c>
      <c r="D26" s="348"/>
      <c r="E26" s="348"/>
      <c r="F26" s="348"/>
      <c r="G26" s="348"/>
      <c r="H26" s="348"/>
      <c r="I26" s="348"/>
      <c r="J26" s="348"/>
      <c r="K26" s="348"/>
      <c r="L26" s="348"/>
      <c r="M26" s="54"/>
    </row>
    <row r="27" spans="1:13" ht="45" customHeight="1">
      <c r="A27" s="54"/>
      <c r="B27" s="56"/>
      <c r="C27" s="348" t="s">
        <v>236</v>
      </c>
      <c r="D27" s="348"/>
      <c r="E27" s="348"/>
      <c r="F27" s="348"/>
      <c r="G27" s="348"/>
      <c r="H27" s="348"/>
      <c r="I27" s="348"/>
      <c r="J27" s="348"/>
      <c r="K27" s="348"/>
      <c r="L27" s="348"/>
      <c r="M27" s="54"/>
    </row>
    <row r="28" spans="1:13" ht="21" customHeight="1">
      <c r="A28" s="54"/>
      <c r="B28" s="56"/>
      <c r="C28" s="229"/>
      <c r="D28" s="229"/>
      <c r="E28" s="229"/>
      <c r="F28" s="229"/>
      <c r="G28" s="229"/>
      <c r="H28" s="229"/>
      <c r="I28" s="229"/>
      <c r="J28" s="229"/>
      <c r="K28" s="229"/>
      <c r="L28" s="229"/>
      <c r="M28" s="54"/>
    </row>
    <row r="29" spans="1:13" ht="16.5" customHeight="1">
      <c r="A29" s="391" t="s">
        <v>2</v>
      </c>
      <c r="B29" s="392"/>
      <c r="C29" s="392"/>
      <c r="D29" s="392"/>
      <c r="E29" s="392"/>
      <c r="F29" s="392"/>
      <c r="G29" s="392"/>
      <c r="H29" s="392"/>
      <c r="I29" s="392"/>
      <c r="J29" s="392"/>
      <c r="K29" s="392"/>
      <c r="L29" s="392"/>
      <c r="M29" s="54"/>
    </row>
    <row r="30" spans="1:13" ht="16.5" customHeight="1">
      <c r="A30" s="206"/>
      <c r="B30" s="57"/>
      <c r="C30" s="57"/>
      <c r="D30" s="57"/>
      <c r="E30" s="57"/>
      <c r="F30" s="57"/>
      <c r="G30" s="57"/>
      <c r="H30" s="57"/>
      <c r="I30" s="57"/>
      <c r="J30" s="57"/>
      <c r="K30" s="57"/>
      <c r="L30" s="57"/>
      <c r="M30" s="54"/>
    </row>
    <row r="31" spans="1:13" ht="18" customHeight="1">
      <c r="A31" s="55">
        <v>3</v>
      </c>
      <c r="B31" s="56"/>
      <c r="C31" s="387" t="s">
        <v>123</v>
      </c>
      <c r="D31" s="387"/>
      <c r="E31" s="387"/>
      <c r="F31" s="65"/>
      <c r="G31" s="65"/>
      <c r="H31" s="65"/>
      <c r="I31" s="65"/>
      <c r="J31" s="65"/>
      <c r="K31" s="65"/>
      <c r="L31" s="65"/>
      <c r="M31" s="54"/>
    </row>
    <row r="32" spans="1:13" ht="21.75" customHeight="1">
      <c r="A32" s="54"/>
      <c r="B32" s="56"/>
      <c r="C32" s="348" t="s">
        <v>125</v>
      </c>
      <c r="D32" s="348"/>
      <c r="E32" s="348"/>
      <c r="F32" s="348"/>
      <c r="G32" s="348"/>
      <c r="H32" s="348"/>
      <c r="I32" s="348"/>
      <c r="J32" s="348"/>
      <c r="K32" s="65"/>
      <c r="L32" s="65"/>
      <c r="M32" s="54"/>
    </row>
    <row r="33" spans="1:13" ht="15.75" customHeight="1">
      <c r="A33" s="54"/>
      <c r="B33" s="56"/>
      <c r="C33" s="54"/>
      <c r="D33" s="54"/>
      <c r="E33" s="54"/>
      <c r="F33" s="54"/>
      <c r="G33" s="54"/>
      <c r="H33" s="54"/>
      <c r="I33" s="54"/>
      <c r="J33" s="54"/>
      <c r="K33" s="54"/>
      <c r="L33" s="54"/>
      <c r="M33" s="54"/>
    </row>
    <row r="34" spans="1:13" ht="18.75">
      <c r="A34" s="55">
        <v>4</v>
      </c>
      <c r="B34" s="56"/>
      <c r="C34" s="55" t="s">
        <v>95</v>
      </c>
      <c r="D34" s="54"/>
      <c r="E34" s="54"/>
      <c r="F34" s="54"/>
      <c r="G34" s="54"/>
      <c r="H34" s="54"/>
      <c r="I34" s="54"/>
      <c r="J34" s="54"/>
      <c r="K34" s="54"/>
      <c r="L34" s="54"/>
      <c r="M34" s="54"/>
    </row>
    <row r="35" spans="1:13" ht="35.25" customHeight="1">
      <c r="A35" s="54"/>
      <c r="B35" s="56"/>
      <c r="C35" s="388" t="s">
        <v>53</v>
      </c>
      <c r="D35" s="388"/>
      <c r="E35" s="388"/>
      <c r="F35" s="388"/>
      <c r="G35" s="388"/>
      <c r="H35" s="388"/>
      <c r="I35" s="388"/>
      <c r="J35" s="388"/>
      <c r="K35" s="388"/>
      <c r="L35" s="388"/>
      <c r="M35" s="54"/>
    </row>
    <row r="36" spans="1:13" ht="18" customHeight="1">
      <c r="A36" s="52"/>
      <c r="B36" s="53"/>
      <c r="C36" s="53"/>
      <c r="D36" s="53"/>
      <c r="E36" s="53"/>
      <c r="F36" s="53"/>
      <c r="G36" s="53"/>
      <c r="H36" s="53"/>
      <c r="I36" s="53"/>
      <c r="J36" s="53"/>
      <c r="K36" s="66"/>
      <c r="L36" s="66"/>
      <c r="M36" s="54"/>
    </row>
    <row r="37" spans="1:13" ht="16.5" customHeight="1">
      <c r="A37" s="55">
        <v>5</v>
      </c>
      <c r="B37" s="56"/>
      <c r="C37" s="67" t="s">
        <v>129</v>
      </c>
      <c r="D37" s="59"/>
      <c r="E37" s="59"/>
      <c r="F37" s="59"/>
      <c r="G37" s="59"/>
      <c r="H37" s="59"/>
      <c r="I37" s="59"/>
      <c r="J37" s="59"/>
      <c r="K37" s="54"/>
      <c r="L37" s="54"/>
      <c r="M37" s="54" t="s">
        <v>47</v>
      </c>
    </row>
    <row r="38" spans="1:13" ht="20.25" customHeight="1">
      <c r="A38" s="54"/>
      <c r="B38" s="56"/>
      <c r="C38" s="389" t="s">
        <v>128</v>
      </c>
      <c r="D38" s="389"/>
      <c r="E38" s="389"/>
      <c r="F38" s="389"/>
      <c r="G38" s="389"/>
      <c r="H38" s="389"/>
      <c r="I38" s="389"/>
      <c r="J38" s="389"/>
      <c r="K38" s="54"/>
      <c r="L38" s="54"/>
      <c r="M38" s="54"/>
    </row>
    <row r="39" spans="1:13" ht="38.25" customHeight="1">
      <c r="A39" s="54"/>
      <c r="B39" s="56"/>
      <c r="C39" s="390" t="s">
        <v>234</v>
      </c>
      <c r="D39" s="390"/>
      <c r="E39" s="390"/>
      <c r="F39" s="390"/>
      <c r="G39" s="390"/>
      <c r="H39" s="390"/>
      <c r="I39" s="390"/>
      <c r="J39" s="390"/>
      <c r="K39" s="54"/>
      <c r="L39" s="54"/>
      <c r="M39" s="54"/>
    </row>
    <row r="40" spans="1:13" ht="22.5" customHeight="1">
      <c r="A40" s="54"/>
      <c r="B40" s="56"/>
      <c r="C40" s="361"/>
      <c r="D40" s="361"/>
      <c r="E40" s="361"/>
      <c r="F40" s="361"/>
      <c r="G40" s="361"/>
      <c r="H40" s="361"/>
      <c r="I40" s="361"/>
      <c r="J40" s="361"/>
      <c r="K40" s="54"/>
      <c r="L40" s="54"/>
      <c r="M40" s="54"/>
    </row>
    <row r="41" spans="1:13" ht="22.5" customHeight="1">
      <c r="A41" s="55">
        <v>6</v>
      </c>
      <c r="B41" s="56"/>
      <c r="C41" s="55" t="s">
        <v>96</v>
      </c>
      <c r="D41" s="54"/>
      <c r="E41" s="54"/>
      <c r="F41" s="54"/>
      <c r="G41" s="54"/>
      <c r="H41" s="54"/>
      <c r="I41" s="54"/>
      <c r="J41" s="54"/>
      <c r="K41" s="54"/>
      <c r="L41" s="54"/>
      <c r="M41" s="54"/>
    </row>
    <row r="42" spans="1:13" ht="30" customHeight="1">
      <c r="A42" s="54"/>
      <c r="B42" s="56"/>
      <c r="C42" s="358" t="s">
        <v>120</v>
      </c>
      <c r="D42" s="358"/>
      <c r="E42" s="358"/>
      <c r="F42" s="358"/>
      <c r="G42" s="358"/>
      <c r="H42" s="358"/>
      <c r="I42" s="358"/>
      <c r="J42" s="358"/>
      <c r="K42" s="358"/>
      <c r="L42" s="358"/>
      <c r="M42" s="54"/>
    </row>
    <row r="43" spans="1:13" ht="16.5" customHeight="1">
      <c r="A43" s="54"/>
      <c r="B43" s="56"/>
      <c r="C43" s="54"/>
      <c r="D43" s="69"/>
      <c r="E43" s="69"/>
      <c r="F43" s="69"/>
      <c r="G43" s="69"/>
      <c r="H43" s="69"/>
      <c r="I43" s="70"/>
      <c r="J43" s="70"/>
      <c r="K43" s="69"/>
      <c r="L43" s="69"/>
      <c r="M43" s="54"/>
    </row>
    <row r="44" spans="1:13" ht="21.75" customHeight="1">
      <c r="A44" s="71">
        <v>7</v>
      </c>
      <c r="B44" s="56"/>
      <c r="C44" s="71" t="s">
        <v>97</v>
      </c>
      <c r="D44" s="54"/>
      <c r="E44" s="54"/>
      <c r="F44" s="54"/>
      <c r="G44" s="54"/>
      <c r="H44" s="54"/>
      <c r="I44" s="54"/>
      <c r="J44" s="54"/>
      <c r="K44" s="54"/>
      <c r="L44" s="54"/>
      <c r="M44" s="54"/>
    </row>
    <row r="45" spans="1:13" ht="21" customHeight="1">
      <c r="A45" s="72"/>
      <c r="B45" s="56"/>
      <c r="C45" s="347" t="s">
        <v>272</v>
      </c>
      <c r="D45" s="347"/>
      <c r="E45" s="347"/>
      <c r="F45" s="347"/>
      <c r="G45" s="347"/>
      <c r="H45" s="347"/>
      <c r="I45" s="347"/>
      <c r="J45" s="347"/>
      <c r="K45" s="73"/>
      <c r="L45" s="73"/>
      <c r="M45" s="54"/>
    </row>
    <row r="46" spans="1:13" ht="37.5" customHeight="1">
      <c r="A46" s="72"/>
      <c r="B46" s="56"/>
      <c r="C46" s="347" t="s">
        <v>280</v>
      </c>
      <c r="D46" s="347"/>
      <c r="E46" s="347"/>
      <c r="F46" s="347"/>
      <c r="G46" s="347"/>
      <c r="H46" s="347"/>
      <c r="I46" s="347"/>
      <c r="J46" s="347"/>
      <c r="K46" s="73"/>
      <c r="L46" s="73"/>
      <c r="M46" s="54"/>
    </row>
    <row r="47" spans="1:13" ht="9.75" customHeight="1">
      <c r="A47" s="355"/>
      <c r="B47" s="360"/>
      <c r="C47" s="360"/>
      <c r="D47" s="360"/>
      <c r="E47" s="360"/>
      <c r="F47" s="360"/>
      <c r="G47" s="360"/>
      <c r="H47" s="360"/>
      <c r="I47" s="360"/>
      <c r="J47" s="360"/>
      <c r="K47" s="54"/>
      <c r="L47" s="54"/>
      <c r="M47" s="54"/>
    </row>
    <row r="48" spans="1:13" ht="18.75" customHeight="1">
      <c r="A48" s="55">
        <v>8</v>
      </c>
      <c r="B48" s="56"/>
      <c r="C48" s="55" t="s">
        <v>94</v>
      </c>
      <c r="D48" s="54"/>
      <c r="E48" s="54"/>
      <c r="F48" s="54"/>
      <c r="G48" s="54"/>
      <c r="H48" s="54"/>
      <c r="I48" s="54"/>
      <c r="J48" s="54"/>
      <c r="K48" s="54"/>
      <c r="L48" s="54"/>
      <c r="M48" s="54"/>
    </row>
    <row r="49" spans="1:13" ht="40.5" customHeight="1">
      <c r="A49" s="54"/>
      <c r="B49" s="56"/>
      <c r="C49" s="350" t="s">
        <v>303</v>
      </c>
      <c r="D49" s="350"/>
      <c r="E49" s="350"/>
      <c r="F49" s="350"/>
      <c r="G49" s="350"/>
      <c r="H49" s="350"/>
      <c r="I49" s="350"/>
      <c r="J49" s="350"/>
      <c r="K49" s="346"/>
      <c r="L49" s="346"/>
      <c r="M49" s="346"/>
    </row>
    <row r="50" spans="1:13" ht="9" customHeight="1">
      <c r="A50" s="74"/>
      <c r="B50" s="56"/>
      <c r="C50" s="65"/>
      <c r="D50" s="65"/>
      <c r="E50" s="65"/>
      <c r="F50" s="65"/>
      <c r="G50" s="65"/>
      <c r="H50" s="65"/>
      <c r="I50" s="65"/>
      <c r="J50" s="65"/>
      <c r="K50" s="65"/>
      <c r="L50" s="65"/>
      <c r="M50" s="54"/>
    </row>
    <row r="51" spans="1:13" ht="17.25" customHeight="1">
      <c r="A51" s="54"/>
      <c r="B51" s="54"/>
      <c r="C51" s="65"/>
      <c r="D51" s="65"/>
      <c r="E51" s="65"/>
      <c r="F51" s="65"/>
      <c r="G51" s="65"/>
      <c r="H51" s="65"/>
      <c r="I51" s="65"/>
      <c r="J51" s="65"/>
      <c r="K51" s="65"/>
      <c r="L51" s="65"/>
      <c r="M51" s="54"/>
    </row>
    <row r="52" spans="1:15" ht="18" customHeight="1">
      <c r="A52" s="71">
        <v>9</v>
      </c>
      <c r="B52" s="55"/>
      <c r="C52" s="387" t="s">
        <v>238</v>
      </c>
      <c r="D52" s="387"/>
      <c r="E52" s="387"/>
      <c r="F52" s="387"/>
      <c r="G52" s="387"/>
      <c r="H52" s="387"/>
      <c r="I52" s="387"/>
      <c r="J52" s="387"/>
      <c r="K52" s="387"/>
      <c r="L52" s="387"/>
      <c r="M52" s="54"/>
      <c r="O52" s="23"/>
    </row>
    <row r="53" spans="1:15" ht="6" customHeight="1">
      <c r="A53" s="71"/>
      <c r="B53" s="55"/>
      <c r="C53" s="64"/>
      <c r="D53" s="64"/>
      <c r="E53" s="64"/>
      <c r="F53" s="64"/>
      <c r="G53" s="64"/>
      <c r="H53" s="64"/>
      <c r="I53" s="64"/>
      <c r="J53" s="64"/>
      <c r="K53" s="64"/>
      <c r="L53" s="64"/>
      <c r="M53" s="54"/>
      <c r="O53" s="23"/>
    </row>
    <row r="54" spans="1:15" ht="50.25" customHeight="1">
      <c r="A54" s="74"/>
      <c r="B54" s="54"/>
      <c r="C54" s="75"/>
      <c r="D54" s="76"/>
      <c r="E54" s="77"/>
      <c r="F54" s="344" t="s">
        <v>240</v>
      </c>
      <c r="G54" s="345"/>
      <c r="H54" s="344" t="s">
        <v>118</v>
      </c>
      <c r="I54" s="345"/>
      <c r="J54" s="65"/>
      <c r="K54" s="65"/>
      <c r="L54" s="65"/>
      <c r="M54" s="54"/>
      <c r="O54" s="49"/>
    </row>
    <row r="55" spans="1:15" ht="16.5" customHeight="1">
      <c r="A55" s="74"/>
      <c r="B55" s="54"/>
      <c r="C55" s="78"/>
      <c r="D55" s="79"/>
      <c r="E55" s="80" t="s">
        <v>279</v>
      </c>
      <c r="F55" s="216">
        <v>2006</v>
      </c>
      <c r="G55" s="81">
        <v>2005</v>
      </c>
      <c r="H55" s="217">
        <v>2006</v>
      </c>
      <c r="I55" s="81">
        <v>2005</v>
      </c>
      <c r="J55" s="65"/>
      <c r="K55" s="65"/>
      <c r="L55" s="65"/>
      <c r="M55" s="54"/>
      <c r="O55" s="48"/>
    </row>
    <row r="56" spans="1:15" ht="22.5" customHeight="1">
      <c r="A56" s="74"/>
      <c r="B56" s="54"/>
      <c r="C56" s="82" t="s">
        <v>40</v>
      </c>
      <c r="D56" s="83"/>
      <c r="E56" s="84"/>
      <c r="F56" s="85">
        <f>209777+34098+9547-18202</f>
        <v>235220</v>
      </c>
      <c r="G56" s="85">
        <v>211987</v>
      </c>
      <c r="H56" s="85">
        <f>6911+325-1120</f>
        <v>6116</v>
      </c>
      <c r="I56" s="85">
        <v>13182</v>
      </c>
      <c r="J56" s="65"/>
      <c r="K56" s="65"/>
      <c r="L56" s="65"/>
      <c r="M56" s="54"/>
      <c r="O56" s="30"/>
    </row>
    <row r="57" spans="1:15" ht="22.5" customHeight="1">
      <c r="A57" s="74"/>
      <c r="B57" s="54"/>
      <c r="C57" s="82" t="s">
        <v>51</v>
      </c>
      <c r="D57" s="83"/>
      <c r="E57" s="84"/>
      <c r="F57" s="85">
        <v>186787</v>
      </c>
      <c r="G57" s="85">
        <v>188779</v>
      </c>
      <c r="H57" s="85">
        <f>11003-90</f>
        <v>10913</v>
      </c>
      <c r="I57" s="85">
        <v>13388</v>
      </c>
      <c r="J57" s="65"/>
      <c r="K57" s="65"/>
      <c r="L57" s="65"/>
      <c r="M57" s="54"/>
      <c r="O57" s="30"/>
    </row>
    <row r="58" spans="1:15" ht="22.5" customHeight="1">
      <c r="A58" s="74"/>
      <c r="B58" s="54"/>
      <c r="C58" s="82" t="s">
        <v>171</v>
      </c>
      <c r="D58" s="83"/>
      <c r="E58" s="84"/>
      <c r="F58" s="85">
        <f>36231+224+3296+54907</f>
        <v>94658</v>
      </c>
      <c r="G58" s="85">
        <v>38013</v>
      </c>
      <c r="H58" s="85">
        <f>311-1650+4356+20924-186</f>
        <v>23755</v>
      </c>
      <c r="I58" s="85">
        <v>2471</v>
      </c>
      <c r="J58" s="65"/>
      <c r="K58" s="65"/>
      <c r="L58" s="65"/>
      <c r="M58" s="54"/>
      <c r="O58" s="30"/>
    </row>
    <row r="59" spans="1:15" ht="22.5" customHeight="1">
      <c r="A59" s="74"/>
      <c r="B59" s="54"/>
      <c r="C59" s="82" t="s">
        <v>41</v>
      </c>
      <c r="D59" s="83"/>
      <c r="E59" s="84"/>
      <c r="F59" s="85">
        <f>2292</f>
        <v>2292</v>
      </c>
      <c r="G59" s="85">
        <v>2306</v>
      </c>
      <c r="H59" s="86">
        <f>7981+1650+34254</f>
        <v>43885</v>
      </c>
      <c r="I59" s="86">
        <v>-539</v>
      </c>
      <c r="J59" s="65"/>
      <c r="K59" s="65"/>
      <c r="L59" s="65"/>
      <c r="M59" s="54"/>
      <c r="O59" s="30"/>
    </row>
    <row r="60" spans="1:15" ht="9" customHeight="1">
      <c r="A60" s="74"/>
      <c r="B60" s="54"/>
      <c r="C60" s="87"/>
      <c r="D60" s="88"/>
      <c r="E60" s="89"/>
      <c r="F60" s="85"/>
      <c r="G60" s="85"/>
      <c r="H60" s="85"/>
      <c r="I60" s="85"/>
      <c r="J60" s="65"/>
      <c r="K60" s="65"/>
      <c r="L60" s="65"/>
      <c r="M60" s="54"/>
      <c r="O60" s="30"/>
    </row>
    <row r="61" spans="1:15" ht="22.5" customHeight="1">
      <c r="A61" s="74"/>
      <c r="B61" s="54"/>
      <c r="C61" s="82"/>
      <c r="D61" s="83"/>
      <c r="E61" s="84"/>
      <c r="F61" s="90">
        <f>SUM(F56:F60)</f>
        <v>518957</v>
      </c>
      <c r="G61" s="90">
        <f>SUM(G56:G60)</f>
        <v>441085</v>
      </c>
      <c r="H61" s="90">
        <f>SUM(H56:H60)</f>
        <v>84669</v>
      </c>
      <c r="I61" s="90">
        <f>SUM(I56:I60)</f>
        <v>28502</v>
      </c>
      <c r="J61" s="65"/>
      <c r="K61" s="65"/>
      <c r="L61" s="65"/>
      <c r="M61" s="54"/>
      <c r="O61" s="30"/>
    </row>
    <row r="62" spans="1:15" ht="18.75" customHeight="1">
      <c r="A62" s="74"/>
      <c r="B62" s="54"/>
      <c r="C62" s="338" t="s">
        <v>252</v>
      </c>
      <c r="D62" s="339"/>
      <c r="E62" s="340"/>
      <c r="F62" s="95">
        <f>-22260-224</f>
        <v>-22484</v>
      </c>
      <c r="G62" s="95">
        <v>-28948</v>
      </c>
      <c r="H62" s="96">
        <v>0</v>
      </c>
      <c r="I62" s="96">
        <v>0</v>
      </c>
      <c r="J62" s="65"/>
      <c r="K62" s="65"/>
      <c r="L62" s="65"/>
      <c r="M62" s="54"/>
      <c r="O62" s="50"/>
    </row>
    <row r="63" spans="1:15" ht="18.75" customHeight="1">
      <c r="A63" s="74"/>
      <c r="B63" s="54"/>
      <c r="C63" s="97" t="s">
        <v>239</v>
      </c>
      <c r="D63" s="98"/>
      <c r="E63" s="99"/>
      <c r="F63" s="90">
        <f>SUM(F61:F62)</f>
        <v>496473</v>
      </c>
      <c r="G63" s="90">
        <f>SUM(G61:G62)</f>
        <v>412137</v>
      </c>
      <c r="H63" s="90">
        <f>SUM(H61:H62)</f>
        <v>84669</v>
      </c>
      <c r="I63" s="90">
        <f>SUM(I61:I62)</f>
        <v>28502</v>
      </c>
      <c r="J63" s="65"/>
      <c r="K63" s="65"/>
      <c r="L63" s="65"/>
      <c r="M63" s="54"/>
      <c r="O63" s="30"/>
    </row>
    <row r="64" spans="1:15" ht="18.75" customHeight="1">
      <c r="A64" s="74"/>
      <c r="B64" s="54"/>
      <c r="C64" s="338" t="s">
        <v>98</v>
      </c>
      <c r="D64" s="339"/>
      <c r="E64" s="340"/>
      <c r="F64" s="218">
        <v>0</v>
      </c>
      <c r="G64" s="100">
        <v>0</v>
      </c>
      <c r="H64" s="100">
        <v>0</v>
      </c>
      <c r="I64" s="100">
        <v>0</v>
      </c>
      <c r="J64" s="65"/>
      <c r="K64" s="65"/>
      <c r="L64" s="65"/>
      <c r="M64" s="54"/>
      <c r="O64" s="51"/>
    </row>
    <row r="65" spans="1:15" ht="18.75" customHeight="1">
      <c r="A65" s="74"/>
      <c r="B65" s="54"/>
      <c r="C65" s="341"/>
      <c r="D65" s="342"/>
      <c r="E65" s="343"/>
      <c r="F65" s="82"/>
      <c r="G65" s="78"/>
      <c r="H65" s="78"/>
      <c r="I65" s="101"/>
      <c r="J65" s="65"/>
      <c r="K65" s="65"/>
      <c r="L65" s="65"/>
      <c r="M65" s="54"/>
      <c r="O65" s="23"/>
    </row>
    <row r="66" spans="1:15" ht="18.75" customHeight="1">
      <c r="A66" s="74"/>
      <c r="B66" s="54"/>
      <c r="C66" s="91"/>
      <c r="D66" s="93"/>
      <c r="E66" s="94"/>
      <c r="F66" s="102">
        <f>SUM(F63:F64)</f>
        <v>496473</v>
      </c>
      <c r="G66" s="102">
        <f>SUM(G63:G64)</f>
        <v>412137</v>
      </c>
      <c r="H66" s="102">
        <f>SUM(H63:H64)</f>
        <v>84669</v>
      </c>
      <c r="I66" s="103">
        <f>SUM(I63:I64)</f>
        <v>28502</v>
      </c>
      <c r="J66" s="65"/>
      <c r="K66" s="65"/>
      <c r="L66" s="65"/>
      <c r="M66" s="54"/>
      <c r="O66" s="28"/>
    </row>
    <row r="67" spans="1:13" ht="18.75" customHeight="1">
      <c r="A67" s="74"/>
      <c r="B67" s="54"/>
      <c r="C67" s="98"/>
      <c r="D67" s="98"/>
      <c r="E67" s="98"/>
      <c r="F67" s="104"/>
      <c r="G67" s="104"/>
      <c r="H67" s="104"/>
      <c r="I67" s="104"/>
      <c r="J67" s="65"/>
      <c r="K67" s="65"/>
      <c r="L67" s="65"/>
      <c r="M67" s="54"/>
    </row>
    <row r="68" spans="1:13" ht="18.75" customHeight="1">
      <c r="A68" s="74"/>
      <c r="B68" s="54"/>
      <c r="C68" s="98"/>
      <c r="D68" s="98"/>
      <c r="E68" s="98"/>
      <c r="F68" s="98"/>
      <c r="G68" s="98"/>
      <c r="H68" s="179"/>
      <c r="I68" s="65"/>
      <c r="J68" s="65"/>
      <c r="K68" s="65"/>
      <c r="L68" s="65"/>
      <c r="M68" s="54"/>
    </row>
    <row r="69" spans="1:13" ht="18.75">
      <c r="A69" s="55">
        <v>10</v>
      </c>
      <c r="B69" s="55"/>
      <c r="C69" s="55" t="s">
        <v>55</v>
      </c>
      <c r="D69" s="54"/>
      <c r="E69" s="54"/>
      <c r="F69" s="54"/>
      <c r="G69" s="54"/>
      <c r="H69" s="54"/>
      <c r="I69" s="54"/>
      <c r="J69" s="54"/>
      <c r="K69" s="54"/>
      <c r="L69" s="54"/>
      <c r="M69" s="54"/>
    </row>
    <row r="70" spans="1:13" ht="28.5" customHeight="1">
      <c r="A70" s="54"/>
      <c r="B70" s="54"/>
      <c r="C70" s="348" t="s">
        <v>217</v>
      </c>
      <c r="D70" s="348"/>
      <c r="E70" s="348"/>
      <c r="F70" s="348"/>
      <c r="G70" s="348"/>
      <c r="H70" s="348"/>
      <c r="I70" s="348"/>
      <c r="J70" s="348"/>
      <c r="K70" s="348"/>
      <c r="L70" s="348"/>
      <c r="M70" s="348"/>
    </row>
    <row r="71" spans="1:13" ht="18.75" hidden="1">
      <c r="A71" s="54"/>
      <c r="B71" s="54"/>
      <c r="C71" s="54"/>
      <c r="D71" s="54"/>
      <c r="E71" s="54"/>
      <c r="F71" s="54"/>
      <c r="G71" s="54"/>
      <c r="H71" s="54"/>
      <c r="I71" s="54"/>
      <c r="J71" s="54"/>
      <c r="K71" s="54"/>
      <c r="L71" s="54"/>
      <c r="M71" s="54"/>
    </row>
    <row r="72" spans="1:13" ht="15.75" customHeight="1" hidden="1">
      <c r="A72" s="54"/>
      <c r="B72" s="54"/>
      <c r="C72" s="105"/>
      <c r="D72" s="92"/>
      <c r="E72" s="105" t="s">
        <v>19</v>
      </c>
      <c r="F72" s="105" t="s">
        <v>20</v>
      </c>
      <c r="G72" s="105"/>
      <c r="H72" s="105"/>
      <c r="I72" s="105" t="s">
        <v>21</v>
      </c>
      <c r="J72" s="334"/>
      <c r="K72" s="335"/>
      <c r="L72" s="54"/>
      <c r="M72" s="54"/>
    </row>
    <row r="73" spans="1:13" ht="15.75" customHeight="1" hidden="1">
      <c r="A73" s="54"/>
      <c r="B73" s="54"/>
      <c r="C73" s="106"/>
      <c r="D73" s="68" t="s">
        <v>18</v>
      </c>
      <c r="E73" s="106" t="s">
        <v>48</v>
      </c>
      <c r="F73" s="106" t="s">
        <v>48</v>
      </c>
      <c r="G73" s="106"/>
      <c r="H73" s="106"/>
      <c r="I73" s="106" t="s">
        <v>48</v>
      </c>
      <c r="J73" s="336" t="s">
        <v>22</v>
      </c>
      <c r="K73" s="337"/>
      <c r="L73" s="54"/>
      <c r="M73" s="54"/>
    </row>
    <row r="74" spans="1:13" ht="15.75" customHeight="1" hidden="1">
      <c r="A74" s="54"/>
      <c r="B74" s="54"/>
      <c r="C74" s="106" t="s">
        <v>23</v>
      </c>
      <c r="D74" s="68" t="s">
        <v>24</v>
      </c>
      <c r="E74" s="106" t="s">
        <v>50</v>
      </c>
      <c r="F74" s="106" t="s">
        <v>50</v>
      </c>
      <c r="G74" s="106"/>
      <c r="H74" s="106"/>
      <c r="I74" s="106" t="s">
        <v>50</v>
      </c>
      <c r="J74" s="336" t="s">
        <v>25</v>
      </c>
      <c r="K74" s="337"/>
      <c r="L74" s="54"/>
      <c r="M74" s="54"/>
    </row>
    <row r="75" spans="1:13" ht="18.75" customHeight="1" hidden="1">
      <c r="A75" s="54"/>
      <c r="B75" s="54"/>
      <c r="C75" s="109"/>
      <c r="D75" s="110" t="s">
        <v>49</v>
      </c>
      <c r="E75" s="109" t="s">
        <v>26</v>
      </c>
      <c r="F75" s="109" t="s">
        <v>26</v>
      </c>
      <c r="G75" s="109"/>
      <c r="H75" s="109"/>
      <c r="I75" s="109" t="s">
        <v>26</v>
      </c>
      <c r="J75" s="396" t="s">
        <v>26</v>
      </c>
      <c r="K75" s="397"/>
      <c r="L75" s="54"/>
      <c r="M75" s="54"/>
    </row>
    <row r="76" spans="1:13" ht="7.5" customHeight="1" hidden="1">
      <c r="A76" s="54"/>
      <c r="B76" s="54"/>
      <c r="C76" s="111"/>
      <c r="D76" s="82"/>
      <c r="E76" s="112"/>
      <c r="F76" s="112"/>
      <c r="G76" s="112"/>
      <c r="H76" s="112"/>
      <c r="I76" s="112"/>
      <c r="J76" s="82"/>
      <c r="K76" s="113"/>
      <c r="L76" s="54"/>
      <c r="M76" s="54"/>
    </row>
    <row r="77" spans="1:13" ht="15.75" customHeight="1" hidden="1">
      <c r="A77" s="54"/>
      <c r="B77" s="54"/>
      <c r="C77" s="111" t="s">
        <v>63</v>
      </c>
      <c r="D77" s="114">
        <v>24000</v>
      </c>
      <c r="E77" s="115">
        <v>1.42</v>
      </c>
      <c r="F77" s="115">
        <v>1.58</v>
      </c>
      <c r="G77" s="115"/>
      <c r="H77" s="115"/>
      <c r="I77" s="115">
        <v>1.4892</v>
      </c>
      <c r="J77" s="114">
        <v>35740</v>
      </c>
      <c r="K77" s="113"/>
      <c r="L77" s="54"/>
      <c r="M77" s="54"/>
    </row>
    <row r="78" spans="1:13" ht="15.75" customHeight="1" hidden="1">
      <c r="A78" s="54"/>
      <c r="B78" s="54"/>
      <c r="C78" s="111" t="s">
        <v>64</v>
      </c>
      <c r="D78" s="114">
        <v>17000</v>
      </c>
      <c r="E78" s="115">
        <v>1.51</v>
      </c>
      <c r="F78" s="115">
        <v>1.58</v>
      </c>
      <c r="G78" s="115"/>
      <c r="H78" s="115"/>
      <c r="I78" s="115">
        <v>1.5306</v>
      </c>
      <c r="J78" s="114">
        <v>26021</v>
      </c>
      <c r="K78" s="113"/>
      <c r="L78" s="54"/>
      <c r="M78" s="54"/>
    </row>
    <row r="79" spans="1:13" ht="7.5" customHeight="1" hidden="1">
      <c r="A79" s="54"/>
      <c r="B79" s="54"/>
      <c r="C79" s="116"/>
      <c r="D79" s="117"/>
      <c r="E79" s="118"/>
      <c r="F79" s="118"/>
      <c r="G79" s="118"/>
      <c r="H79" s="118"/>
      <c r="I79" s="118"/>
      <c r="J79" s="117"/>
      <c r="K79" s="119"/>
      <c r="L79" s="54"/>
      <c r="M79" s="54"/>
    </row>
    <row r="80" spans="1:13" ht="25.5" customHeight="1">
      <c r="A80" s="55">
        <v>11</v>
      </c>
      <c r="B80" s="55"/>
      <c r="C80" s="67" t="s">
        <v>241</v>
      </c>
      <c r="D80" s="54"/>
      <c r="E80" s="54"/>
      <c r="F80" s="54"/>
      <c r="G80" s="54"/>
      <c r="H80" s="54"/>
      <c r="I80" s="54"/>
      <c r="J80" s="54"/>
      <c r="K80" s="54"/>
      <c r="L80" s="54"/>
      <c r="M80" s="54"/>
    </row>
    <row r="81" spans="1:13" ht="37.5" customHeight="1">
      <c r="A81" s="120"/>
      <c r="B81" s="59"/>
      <c r="C81" s="348" t="s">
        <v>281</v>
      </c>
      <c r="D81" s="348"/>
      <c r="E81" s="348"/>
      <c r="F81" s="348"/>
      <c r="G81" s="348"/>
      <c r="H81" s="348"/>
      <c r="I81" s="348"/>
      <c r="J81" s="348"/>
      <c r="K81" s="54"/>
      <c r="L81" s="54"/>
      <c r="M81" s="54"/>
    </row>
    <row r="82" spans="1:13" ht="18" customHeight="1">
      <c r="A82" s="54"/>
      <c r="B82" s="59"/>
      <c r="C82" s="58"/>
      <c r="D82" s="58"/>
      <c r="E82" s="58"/>
      <c r="F82" s="58"/>
      <c r="G82" s="58"/>
      <c r="H82" s="58"/>
      <c r="I82" s="58"/>
      <c r="J82" s="58"/>
      <c r="K82" s="54"/>
      <c r="L82" s="54"/>
      <c r="M82" s="54"/>
    </row>
    <row r="83" spans="1:13" ht="18" customHeight="1">
      <c r="A83" s="55">
        <v>12</v>
      </c>
      <c r="B83" s="55"/>
      <c r="C83" s="55" t="s">
        <v>261</v>
      </c>
      <c r="D83" s="54"/>
      <c r="E83" s="54"/>
      <c r="F83" s="54"/>
      <c r="G83" s="54"/>
      <c r="H83" s="54"/>
      <c r="I83" s="54"/>
      <c r="J83" s="54"/>
      <c r="K83" s="54"/>
      <c r="L83" s="54"/>
      <c r="M83" s="54"/>
    </row>
    <row r="84" spans="1:13" ht="24.75" customHeight="1">
      <c r="A84" s="54"/>
      <c r="B84" s="54"/>
      <c r="C84" s="350" t="s">
        <v>218</v>
      </c>
      <c r="D84" s="350"/>
      <c r="E84" s="350"/>
      <c r="F84" s="350"/>
      <c r="G84" s="350"/>
      <c r="H84" s="350"/>
      <c r="I84" s="350"/>
      <c r="J84" s="350"/>
      <c r="K84" s="350"/>
      <c r="L84" s="350"/>
      <c r="M84" s="350"/>
    </row>
    <row r="85" spans="1:13" ht="18" customHeight="1">
      <c r="A85" s="54"/>
      <c r="B85" s="54"/>
      <c r="C85" s="65"/>
      <c r="D85" s="65"/>
      <c r="E85" s="65"/>
      <c r="F85" s="65"/>
      <c r="G85" s="65"/>
      <c r="H85" s="65"/>
      <c r="I85" s="65"/>
      <c r="J85" s="65"/>
      <c r="K85" s="65"/>
      <c r="L85" s="65"/>
      <c r="M85" s="54"/>
    </row>
    <row r="86" spans="1:13" ht="18" customHeight="1">
      <c r="A86" s="55">
        <v>13</v>
      </c>
      <c r="B86" s="55"/>
      <c r="C86" s="55" t="s">
        <v>99</v>
      </c>
      <c r="D86" s="54"/>
      <c r="E86" s="54"/>
      <c r="F86" s="54"/>
      <c r="G86" s="54"/>
      <c r="H86" s="54"/>
      <c r="I86" s="54"/>
      <c r="J86" s="54"/>
      <c r="K86" s="54"/>
      <c r="L86" s="54"/>
      <c r="M86" s="54"/>
    </row>
    <row r="87" spans="1:13" ht="18" customHeight="1">
      <c r="A87" s="55"/>
      <c r="B87" s="55"/>
      <c r="C87" s="350" t="s">
        <v>304</v>
      </c>
      <c r="D87" s="350"/>
      <c r="E87" s="350"/>
      <c r="F87" s="350"/>
      <c r="G87" s="350"/>
      <c r="H87" s="350"/>
      <c r="I87" s="350"/>
      <c r="J87" s="350"/>
      <c r="K87" s="350"/>
      <c r="L87" s="350"/>
      <c r="M87" s="54"/>
    </row>
    <row r="88" spans="1:13" ht="18" customHeight="1">
      <c r="A88" s="55"/>
      <c r="B88" s="55"/>
      <c r="C88" s="65"/>
      <c r="D88" s="65"/>
      <c r="E88" s="65"/>
      <c r="F88" s="65"/>
      <c r="G88" s="65"/>
      <c r="H88" s="65"/>
      <c r="I88" s="65"/>
      <c r="J88" s="65"/>
      <c r="K88" s="65"/>
      <c r="L88" s="65"/>
      <c r="M88" s="54"/>
    </row>
    <row r="89" spans="1:13" ht="22.5" customHeight="1">
      <c r="A89" s="54"/>
      <c r="B89" s="54"/>
      <c r="C89" s="350" t="s">
        <v>309</v>
      </c>
      <c r="D89" s="350"/>
      <c r="E89" s="350"/>
      <c r="F89" s="350"/>
      <c r="G89" s="350"/>
      <c r="H89" s="350"/>
      <c r="I89" s="350"/>
      <c r="J89" s="350"/>
      <c r="K89" s="350"/>
      <c r="L89" s="350"/>
      <c r="M89" s="54"/>
    </row>
    <row r="90" spans="1:13" ht="18" customHeight="1">
      <c r="A90" s="54"/>
      <c r="B90" s="59"/>
      <c r="C90" s="58"/>
      <c r="D90" s="58"/>
      <c r="E90" s="58"/>
      <c r="F90" s="58"/>
      <c r="G90" s="58"/>
      <c r="H90" s="58"/>
      <c r="I90" s="58"/>
      <c r="J90" s="58"/>
      <c r="K90" s="54"/>
      <c r="L90" s="54"/>
      <c r="M90" s="54"/>
    </row>
    <row r="91" spans="1:13" ht="14.25" customHeight="1">
      <c r="A91" s="355"/>
      <c r="B91" s="355"/>
      <c r="C91" s="355"/>
      <c r="D91" s="355"/>
      <c r="E91" s="355"/>
      <c r="F91" s="355"/>
      <c r="G91" s="355"/>
      <c r="H91" s="355"/>
      <c r="I91" s="355"/>
      <c r="J91" s="355"/>
      <c r="K91" s="69"/>
      <c r="L91" s="69"/>
      <c r="M91" s="54"/>
    </row>
    <row r="92" spans="1:13" ht="18.75">
      <c r="A92" s="355" t="s">
        <v>173</v>
      </c>
      <c r="B92" s="355"/>
      <c r="C92" s="355"/>
      <c r="D92" s="355"/>
      <c r="E92" s="355"/>
      <c r="F92" s="355"/>
      <c r="G92" s="355"/>
      <c r="H92" s="355"/>
      <c r="I92" s="355"/>
      <c r="J92" s="355"/>
      <c r="K92" s="69"/>
      <c r="L92" s="69"/>
      <c r="M92" s="54"/>
    </row>
    <row r="93" spans="1:13" ht="18" customHeight="1">
      <c r="A93" s="54"/>
      <c r="B93" s="54"/>
      <c r="C93" s="65"/>
      <c r="D93" s="65"/>
      <c r="E93" s="65"/>
      <c r="F93" s="65"/>
      <c r="G93" s="65"/>
      <c r="H93" s="65"/>
      <c r="I93" s="65"/>
      <c r="J93" s="65"/>
      <c r="K93" s="65"/>
      <c r="L93" s="65"/>
      <c r="M93" s="54"/>
    </row>
    <row r="94" spans="1:13" ht="18" customHeight="1">
      <c r="A94" s="55">
        <v>14</v>
      </c>
      <c r="B94" s="55"/>
      <c r="C94" s="55" t="s">
        <v>100</v>
      </c>
      <c r="D94" s="54"/>
      <c r="E94" s="54"/>
      <c r="F94" s="54"/>
      <c r="G94" s="54"/>
      <c r="H94" s="54"/>
      <c r="I94" s="54"/>
      <c r="J94" s="54"/>
      <c r="K94" s="54"/>
      <c r="L94" s="54"/>
      <c r="M94" s="54"/>
    </row>
    <row r="95" spans="1:13" ht="18" customHeight="1">
      <c r="A95" s="54"/>
      <c r="B95" s="54"/>
      <c r="C95" s="350" t="s">
        <v>282</v>
      </c>
      <c r="D95" s="350"/>
      <c r="E95" s="350"/>
      <c r="F95" s="350"/>
      <c r="G95" s="350"/>
      <c r="H95" s="350"/>
      <c r="I95" s="350"/>
      <c r="J95" s="350"/>
      <c r="K95" s="350"/>
      <c r="L95" s="350"/>
      <c r="M95" s="54"/>
    </row>
    <row r="96" spans="1:13" ht="18" customHeight="1">
      <c r="A96" s="54"/>
      <c r="B96" s="54"/>
      <c r="C96" s="65"/>
      <c r="D96" s="65"/>
      <c r="E96" s="65"/>
      <c r="F96" s="65"/>
      <c r="G96" s="65"/>
      <c r="H96" s="401" t="s">
        <v>9</v>
      </c>
      <c r="I96" s="401"/>
      <c r="J96" s="107"/>
      <c r="K96" s="65"/>
      <c r="L96" s="65"/>
      <c r="M96" s="54"/>
    </row>
    <row r="97" spans="1:13" ht="18.75" customHeight="1">
      <c r="A97" s="54"/>
      <c r="B97" s="54"/>
      <c r="C97" s="65"/>
      <c r="D97" s="65"/>
      <c r="E97" s="65"/>
      <c r="F97" s="65"/>
      <c r="G97" s="65"/>
      <c r="H97" s="121" t="s">
        <v>283</v>
      </c>
      <c r="I97" s="121" t="s">
        <v>284</v>
      </c>
      <c r="J97" s="65"/>
      <c r="K97" s="65"/>
      <c r="L97" s="65"/>
      <c r="M97" s="54"/>
    </row>
    <row r="98" spans="1:13" ht="18" customHeight="1">
      <c r="A98" s="54"/>
      <c r="B98" s="54"/>
      <c r="C98" s="362"/>
      <c r="D98" s="362"/>
      <c r="E98" s="362"/>
      <c r="F98" s="362"/>
      <c r="G98" s="362"/>
      <c r="H98" s="362"/>
      <c r="I98" s="362"/>
      <c r="J98" s="362"/>
      <c r="K98" s="362"/>
      <c r="L98" s="362"/>
      <c r="M98" s="54"/>
    </row>
    <row r="99" spans="1:13" ht="18" customHeight="1">
      <c r="A99" s="54"/>
      <c r="B99" s="54"/>
      <c r="C99" s="350" t="s">
        <v>101</v>
      </c>
      <c r="D99" s="350"/>
      <c r="E99" s="350"/>
      <c r="F99" s="350"/>
      <c r="G99" s="65"/>
      <c r="H99" s="219">
        <f>'[2]cap'!K5</f>
        <v>67427</v>
      </c>
      <c r="I99" s="122">
        <v>64282</v>
      </c>
      <c r="J99" s="54"/>
      <c r="K99" s="107"/>
      <c r="L99" s="107"/>
      <c r="M99" s="54"/>
    </row>
    <row r="100" spans="1:13" ht="18" customHeight="1">
      <c r="A100" s="54"/>
      <c r="B100" s="54"/>
      <c r="C100" s="350" t="s">
        <v>102</v>
      </c>
      <c r="D100" s="350"/>
      <c r="E100" s="350"/>
      <c r="F100" s="350"/>
      <c r="G100" s="65"/>
      <c r="H100" s="219">
        <f>'[2]cap'!K6</f>
        <v>11606</v>
      </c>
      <c r="I100" s="122">
        <v>17507</v>
      </c>
      <c r="J100" s="54"/>
      <c r="K100" s="107"/>
      <c r="L100" s="107"/>
      <c r="M100" s="54"/>
    </row>
    <row r="101" spans="1:13" ht="18" customHeight="1">
      <c r="A101" s="54"/>
      <c r="B101" s="54"/>
      <c r="C101" s="107"/>
      <c r="D101" s="107"/>
      <c r="E101" s="107"/>
      <c r="F101" s="107"/>
      <c r="G101" s="107"/>
      <c r="H101" s="220"/>
      <c r="I101" s="107"/>
      <c r="J101" s="54"/>
      <c r="K101" s="107"/>
      <c r="L101" s="107"/>
      <c r="M101" s="54"/>
    </row>
    <row r="102" spans="1:13" ht="18" customHeight="1" thickBot="1">
      <c r="A102" s="54"/>
      <c r="B102" s="54"/>
      <c r="C102" s="107"/>
      <c r="D102" s="107"/>
      <c r="E102" s="107"/>
      <c r="F102" s="107"/>
      <c r="G102" s="107"/>
      <c r="H102" s="123">
        <f>SUM(H99:H101)</f>
        <v>79033</v>
      </c>
      <c r="I102" s="123">
        <f>SUM(I99:I101)</f>
        <v>81789</v>
      </c>
      <c r="J102" s="54"/>
      <c r="K102" s="107"/>
      <c r="L102" s="107"/>
      <c r="M102" s="54"/>
    </row>
    <row r="103" spans="1:13" ht="18" customHeight="1" thickTop="1">
      <c r="A103" s="54"/>
      <c r="B103" s="54"/>
      <c r="C103" s="54"/>
      <c r="D103" s="54"/>
      <c r="E103" s="54"/>
      <c r="F103" s="54"/>
      <c r="G103" s="54"/>
      <c r="H103" s="54"/>
      <c r="I103" s="54"/>
      <c r="J103" s="54"/>
      <c r="K103" s="54"/>
      <c r="L103" s="54"/>
      <c r="M103" s="54"/>
    </row>
    <row r="104" spans="1:13" ht="18" customHeight="1">
      <c r="A104" s="55">
        <v>15</v>
      </c>
      <c r="B104" s="55"/>
      <c r="C104" s="55" t="s">
        <v>103</v>
      </c>
      <c r="D104" s="54"/>
      <c r="E104" s="54"/>
      <c r="F104" s="54"/>
      <c r="G104" s="54"/>
      <c r="H104" s="54"/>
      <c r="I104" s="54"/>
      <c r="J104" s="54"/>
      <c r="K104" s="54"/>
      <c r="L104" s="54"/>
      <c r="M104" s="54"/>
    </row>
    <row r="105" spans="1:13" ht="18" customHeight="1">
      <c r="A105" s="54"/>
      <c r="B105" s="54"/>
      <c r="C105" s="54"/>
      <c r="D105" s="54"/>
      <c r="E105" s="54"/>
      <c r="F105" s="54"/>
      <c r="G105" s="54"/>
      <c r="H105" s="54"/>
      <c r="I105" s="54"/>
      <c r="J105" s="54"/>
      <c r="K105" s="54"/>
      <c r="L105" s="54"/>
      <c r="M105" s="54"/>
    </row>
    <row r="106" spans="1:13" ht="18" customHeight="1">
      <c r="A106" s="54"/>
      <c r="B106" s="54"/>
      <c r="C106" s="54"/>
      <c r="D106" s="54"/>
      <c r="E106" s="54"/>
      <c r="F106" s="54"/>
      <c r="G106" s="54"/>
      <c r="H106" s="54"/>
      <c r="I106" s="121" t="s">
        <v>283</v>
      </c>
      <c r="J106" s="54"/>
      <c r="K106" s="54"/>
      <c r="L106" s="54"/>
      <c r="M106" s="54"/>
    </row>
    <row r="107" spans="1:13" ht="18" customHeight="1">
      <c r="A107" s="54"/>
      <c r="B107" s="54"/>
      <c r="C107" s="55"/>
      <c r="D107" s="54"/>
      <c r="E107" s="54"/>
      <c r="F107" s="54"/>
      <c r="G107" s="54"/>
      <c r="H107" s="54"/>
      <c r="I107" s="53" t="s">
        <v>9</v>
      </c>
      <c r="J107" s="54"/>
      <c r="K107" s="54"/>
      <c r="L107" s="54"/>
      <c r="M107" s="54"/>
    </row>
    <row r="108" spans="1:13" ht="18" customHeight="1">
      <c r="A108" s="54"/>
      <c r="B108" s="54"/>
      <c r="C108" s="124" t="s">
        <v>150</v>
      </c>
      <c r="D108" s="125"/>
      <c r="E108" s="126"/>
      <c r="F108" s="126"/>
      <c r="G108" s="126"/>
      <c r="H108" s="126"/>
      <c r="I108" s="127">
        <v>2756</v>
      </c>
      <c r="J108" s="54"/>
      <c r="K108" s="54"/>
      <c r="L108" s="54"/>
      <c r="M108" s="54"/>
    </row>
    <row r="109" spans="1:13" ht="18" customHeight="1">
      <c r="A109" s="54"/>
      <c r="B109" s="54"/>
      <c r="C109" s="124" t="s">
        <v>151</v>
      </c>
      <c r="D109" s="125"/>
      <c r="E109" s="126"/>
      <c r="F109" s="126"/>
      <c r="G109" s="126"/>
      <c r="H109" s="126"/>
      <c r="I109" s="54"/>
      <c r="J109" s="54"/>
      <c r="K109" s="54"/>
      <c r="L109" s="54"/>
      <c r="M109" s="54"/>
    </row>
    <row r="110" spans="1:13" ht="18" customHeight="1">
      <c r="A110" s="54"/>
      <c r="B110" s="54"/>
      <c r="C110" s="124" t="s">
        <v>153</v>
      </c>
      <c r="D110" s="125"/>
      <c r="E110" s="126"/>
      <c r="F110" s="126"/>
      <c r="G110" s="126"/>
      <c r="H110" s="126"/>
      <c r="I110" s="127">
        <f>31254+158+88+26611</f>
        <v>58111</v>
      </c>
      <c r="J110" s="54"/>
      <c r="K110" s="54"/>
      <c r="L110" s="54"/>
      <c r="M110" s="54"/>
    </row>
    <row r="111" spans="1:13" ht="18" customHeight="1">
      <c r="A111" s="54"/>
      <c r="B111" s="54"/>
      <c r="C111" s="124" t="s">
        <v>167</v>
      </c>
      <c r="D111" s="125"/>
      <c r="E111" s="126"/>
      <c r="F111" s="126"/>
      <c r="G111" s="126"/>
      <c r="H111" s="126"/>
      <c r="I111" s="128">
        <f>1473+3178</f>
        <v>4651</v>
      </c>
      <c r="J111" s="54"/>
      <c r="K111" s="54"/>
      <c r="L111" s="54"/>
      <c r="M111" s="54"/>
    </row>
    <row r="112" spans="1:13" ht="18" customHeight="1">
      <c r="A112" s="54"/>
      <c r="B112" s="54"/>
      <c r="C112" s="65" t="s">
        <v>152</v>
      </c>
      <c r="D112" s="65"/>
      <c r="E112" s="65"/>
      <c r="F112" s="65"/>
      <c r="G112" s="65"/>
      <c r="H112" s="65"/>
      <c r="I112" s="129">
        <f>1072+1288</f>
        <v>2360</v>
      </c>
      <c r="J112" s="54"/>
      <c r="K112" s="65"/>
      <c r="L112" s="65"/>
      <c r="M112" s="54"/>
    </row>
    <row r="113" spans="1:13" ht="18" customHeight="1">
      <c r="A113" s="54"/>
      <c r="B113" s="54"/>
      <c r="C113" s="65" t="s">
        <v>154</v>
      </c>
      <c r="D113" s="65"/>
      <c r="E113" s="65"/>
      <c r="F113" s="65"/>
      <c r="G113" s="65"/>
      <c r="H113" s="65"/>
      <c r="I113" s="129">
        <f>670+756</f>
        <v>1426</v>
      </c>
      <c r="J113" s="54"/>
      <c r="K113" s="65"/>
      <c r="L113" s="65"/>
      <c r="M113" s="54"/>
    </row>
    <row r="114" spans="1:13" ht="18" customHeight="1">
      <c r="A114" s="54"/>
      <c r="B114" s="54"/>
      <c r="C114" s="65" t="s">
        <v>155</v>
      </c>
      <c r="D114" s="65"/>
      <c r="E114" s="65"/>
      <c r="F114" s="65"/>
      <c r="G114" s="65"/>
      <c r="H114" s="65"/>
      <c r="I114" s="129">
        <f>20+26</f>
        <v>46</v>
      </c>
      <c r="J114" s="54"/>
      <c r="K114" s="65"/>
      <c r="L114" s="65"/>
      <c r="M114" s="54"/>
    </row>
    <row r="115" spans="1:13" ht="18" customHeight="1">
      <c r="A115" s="54"/>
      <c r="B115" s="54"/>
      <c r="C115" s="65" t="s">
        <v>156</v>
      </c>
      <c r="D115" s="65"/>
      <c r="E115" s="65"/>
      <c r="F115" s="65"/>
      <c r="G115" s="65"/>
      <c r="H115" s="65"/>
      <c r="I115" s="129">
        <f>63+10</f>
        <v>73</v>
      </c>
      <c r="J115" s="54"/>
      <c r="K115" s="65"/>
      <c r="L115" s="65"/>
      <c r="M115" s="54"/>
    </row>
    <row r="116" spans="1:13" ht="18" customHeight="1">
      <c r="A116" s="54"/>
      <c r="B116" s="54"/>
      <c r="C116" s="65" t="s">
        <v>285</v>
      </c>
      <c r="D116" s="65"/>
      <c r="E116" s="65"/>
      <c r="F116" s="65"/>
      <c r="G116" s="65"/>
      <c r="H116" s="65"/>
      <c r="I116" s="129">
        <v>3</v>
      </c>
      <c r="J116" s="54"/>
      <c r="K116" s="65"/>
      <c r="L116" s="65"/>
      <c r="M116" s="54"/>
    </row>
    <row r="117" spans="1:13" ht="18" customHeight="1">
      <c r="A117" s="54"/>
      <c r="B117" s="54"/>
      <c r="C117" s="65"/>
      <c r="D117" s="65"/>
      <c r="E117" s="65"/>
      <c r="F117" s="65"/>
      <c r="G117" s="65"/>
      <c r="H117" s="65"/>
      <c r="I117" s="65"/>
      <c r="J117" s="65"/>
      <c r="K117" s="65"/>
      <c r="L117" s="65"/>
      <c r="M117" s="54"/>
    </row>
    <row r="118" spans="1:13" ht="18" customHeight="1">
      <c r="A118" s="55">
        <v>16</v>
      </c>
      <c r="B118" s="55"/>
      <c r="C118" s="387" t="s">
        <v>10</v>
      </c>
      <c r="D118" s="387"/>
      <c r="E118" s="387"/>
      <c r="F118" s="387"/>
      <c r="G118" s="387"/>
      <c r="H118" s="387"/>
      <c r="I118" s="387"/>
      <c r="J118" s="387"/>
      <c r="K118" s="387"/>
      <c r="L118" s="387"/>
      <c r="M118" s="54"/>
    </row>
    <row r="119" spans="1:13" ht="18" customHeight="1">
      <c r="A119" s="54"/>
      <c r="B119" s="54"/>
      <c r="C119" s="350" t="s">
        <v>132</v>
      </c>
      <c r="D119" s="350"/>
      <c r="E119" s="350"/>
      <c r="F119" s="350"/>
      <c r="G119" s="350"/>
      <c r="H119" s="350"/>
      <c r="I119" s="350"/>
      <c r="J119" s="350"/>
      <c r="K119" s="350"/>
      <c r="L119" s="350"/>
      <c r="M119" s="54"/>
    </row>
    <row r="120" spans="1:13" ht="18" customHeight="1">
      <c r="A120" s="54"/>
      <c r="B120" s="54"/>
      <c r="C120" s="65"/>
      <c r="D120" s="65"/>
      <c r="E120" s="65"/>
      <c r="F120" s="65"/>
      <c r="G120" s="65"/>
      <c r="H120" s="65"/>
      <c r="I120" s="65"/>
      <c r="J120" s="65"/>
      <c r="K120" s="65"/>
      <c r="L120" s="65"/>
      <c r="M120" s="54"/>
    </row>
    <row r="121" spans="1:13" ht="18" customHeight="1">
      <c r="A121" s="54"/>
      <c r="B121" s="54"/>
      <c r="C121" s="65"/>
      <c r="D121" s="65"/>
      <c r="E121" s="65"/>
      <c r="F121" s="65"/>
      <c r="G121" s="65"/>
      <c r="H121" s="121" t="s">
        <v>283</v>
      </c>
      <c r="I121" s="121" t="s">
        <v>59</v>
      </c>
      <c r="J121" s="54"/>
      <c r="K121" s="65"/>
      <c r="L121" s="65"/>
      <c r="M121" s="54"/>
    </row>
    <row r="122" spans="1:13" ht="18" customHeight="1">
      <c r="A122" s="54"/>
      <c r="B122" s="54"/>
      <c r="C122" s="65"/>
      <c r="D122" s="65"/>
      <c r="E122" s="65"/>
      <c r="F122" s="65"/>
      <c r="G122" s="65"/>
      <c r="H122" s="107"/>
      <c r="I122" s="121">
        <v>2006</v>
      </c>
      <c r="J122" s="54"/>
      <c r="K122" s="65"/>
      <c r="L122" s="65"/>
      <c r="M122" s="54"/>
    </row>
    <row r="123" spans="1:13" ht="18" customHeight="1">
      <c r="A123" s="54"/>
      <c r="B123" s="54"/>
      <c r="C123" s="65"/>
      <c r="D123" s="65"/>
      <c r="E123" s="65"/>
      <c r="F123" s="65"/>
      <c r="G123" s="65"/>
      <c r="H123" s="360" t="s">
        <v>9</v>
      </c>
      <c r="I123" s="360"/>
      <c r="J123" s="54"/>
      <c r="K123" s="65"/>
      <c r="L123" s="65"/>
      <c r="M123" s="54"/>
    </row>
    <row r="124" spans="1:13" ht="18" customHeight="1">
      <c r="A124" s="54"/>
      <c r="B124" s="54"/>
      <c r="C124" s="65"/>
      <c r="D124" s="65"/>
      <c r="E124" s="65"/>
      <c r="F124" s="65"/>
      <c r="G124" s="65"/>
      <c r="H124" s="107"/>
      <c r="I124" s="107"/>
      <c r="J124" s="54"/>
      <c r="K124" s="65"/>
      <c r="L124" s="65"/>
      <c r="M124" s="54"/>
    </row>
    <row r="125" spans="1:13" ht="18" customHeight="1">
      <c r="A125" s="54"/>
      <c r="B125" s="54"/>
      <c r="C125" s="65" t="s">
        <v>10</v>
      </c>
      <c r="D125" s="65"/>
      <c r="E125" s="65"/>
      <c r="F125" s="65"/>
      <c r="G125" s="65"/>
      <c r="H125" s="57"/>
      <c r="I125" s="132"/>
      <c r="J125" s="54"/>
      <c r="K125" s="65"/>
      <c r="L125" s="65"/>
      <c r="M125" s="54"/>
    </row>
    <row r="126" spans="1:13" ht="18" customHeight="1">
      <c r="A126" s="54"/>
      <c r="B126" s="54"/>
      <c r="C126" s="350" t="s">
        <v>62</v>
      </c>
      <c r="D126" s="350"/>
      <c r="E126" s="350"/>
      <c r="F126" s="350"/>
      <c r="G126" s="65"/>
      <c r="H126" s="133">
        <f>'[2]Tax Charge BD'!N9-5681</f>
        <v>4932</v>
      </c>
      <c r="I126" s="134">
        <f>'[2]Tax Charge BD'!N9</f>
        <v>10613</v>
      </c>
      <c r="J126" s="54"/>
      <c r="K126" s="65"/>
      <c r="L126" s="65"/>
      <c r="M126" s="54"/>
    </row>
    <row r="127" spans="1:13" ht="18" customHeight="1">
      <c r="A127" s="54"/>
      <c r="B127" s="54"/>
      <c r="C127" s="350" t="s">
        <v>66</v>
      </c>
      <c r="D127" s="350"/>
      <c r="E127" s="350"/>
      <c r="F127" s="350"/>
      <c r="G127" s="65"/>
      <c r="H127" s="72"/>
      <c r="I127" s="134"/>
      <c r="J127" s="54"/>
      <c r="K127" s="65"/>
      <c r="L127" s="65"/>
      <c r="M127" s="54"/>
    </row>
    <row r="128" spans="1:13" ht="18" customHeight="1">
      <c r="A128" s="54"/>
      <c r="B128" s="54"/>
      <c r="C128" s="130" t="s">
        <v>52</v>
      </c>
      <c r="D128" s="65"/>
      <c r="E128" s="65"/>
      <c r="F128" s="65"/>
      <c r="G128" s="65"/>
      <c r="H128" s="135"/>
      <c r="I128" s="134"/>
      <c r="J128" s="54"/>
      <c r="K128" s="65"/>
      <c r="L128" s="65"/>
      <c r="M128" s="54"/>
    </row>
    <row r="129" spans="1:13" ht="18" customHeight="1">
      <c r="A129" s="54"/>
      <c r="B129" s="54"/>
      <c r="C129" s="350" t="s">
        <v>142</v>
      </c>
      <c r="D129" s="350"/>
      <c r="E129" s="350"/>
      <c r="F129" s="350"/>
      <c r="G129" s="65"/>
      <c r="H129" s="133">
        <f>'[2]Tax Charge BD'!N12</f>
        <v>1062</v>
      </c>
      <c r="I129" s="136">
        <f>H129</f>
        <v>1062</v>
      </c>
      <c r="J129" s="54"/>
      <c r="K129" s="65"/>
      <c r="L129" s="65"/>
      <c r="M129" s="54"/>
    </row>
    <row r="130" spans="1:13" ht="18" customHeight="1">
      <c r="A130" s="54"/>
      <c r="B130" s="54"/>
      <c r="C130" s="354" t="s">
        <v>66</v>
      </c>
      <c r="D130" s="354"/>
      <c r="E130" s="354"/>
      <c r="F130" s="354"/>
      <c r="G130" s="130"/>
      <c r="H130" s="137"/>
      <c r="I130" s="138"/>
      <c r="J130" s="54"/>
      <c r="K130" s="65"/>
      <c r="L130" s="65"/>
      <c r="M130" s="54"/>
    </row>
    <row r="131" spans="1:13" ht="18" customHeight="1">
      <c r="A131" s="54"/>
      <c r="B131" s="54"/>
      <c r="C131" s="130" t="s">
        <v>68</v>
      </c>
      <c r="D131" s="130"/>
      <c r="E131" s="130"/>
      <c r="F131" s="130"/>
      <c r="G131" s="130"/>
      <c r="H131" s="139">
        <v>0</v>
      </c>
      <c r="I131" s="134">
        <f>'[1]Tax Charge BD'!N11</f>
        <v>0</v>
      </c>
      <c r="J131" s="54"/>
      <c r="K131" s="65"/>
      <c r="L131" s="65"/>
      <c r="M131" s="54"/>
    </row>
    <row r="132" spans="1:13" ht="18" customHeight="1">
      <c r="A132" s="54"/>
      <c r="B132" s="54"/>
      <c r="C132" s="65"/>
      <c r="D132" s="65"/>
      <c r="E132" s="65"/>
      <c r="F132" s="65"/>
      <c r="G132" s="65"/>
      <c r="H132" s="140"/>
      <c r="I132" s="134"/>
      <c r="J132" s="54"/>
      <c r="K132" s="65"/>
      <c r="L132" s="65"/>
      <c r="M132" s="54"/>
    </row>
    <row r="133" spans="1:16" ht="18" customHeight="1" thickBot="1">
      <c r="A133" s="54"/>
      <c r="B133" s="54"/>
      <c r="C133" s="65"/>
      <c r="D133" s="65"/>
      <c r="E133" s="65"/>
      <c r="F133" s="141"/>
      <c r="G133" s="141"/>
      <c r="H133" s="142">
        <f>SUM(H126:H132)</f>
        <v>5994</v>
      </c>
      <c r="I133" s="142">
        <f>SUM(I126:I131)</f>
        <v>11675</v>
      </c>
      <c r="J133" s="54"/>
      <c r="K133" s="65"/>
      <c r="L133" s="65"/>
      <c r="M133" s="54"/>
      <c r="P133" s="4">
        <f>-'[1]pl'!H39</f>
        <v>5681</v>
      </c>
    </row>
    <row r="134" spans="1:13" ht="18" customHeight="1" thickTop="1">
      <c r="A134" s="54"/>
      <c r="B134" s="54"/>
      <c r="C134" s="65"/>
      <c r="D134" s="65"/>
      <c r="E134" s="65"/>
      <c r="F134" s="65"/>
      <c r="G134" s="65"/>
      <c r="H134" s="65"/>
      <c r="I134" s="143"/>
      <c r="J134" s="144"/>
      <c r="K134" s="65"/>
      <c r="L134" s="65"/>
      <c r="M134" s="54"/>
    </row>
    <row r="135" spans="1:13" ht="38.25" customHeight="1">
      <c r="A135" s="54"/>
      <c r="B135" s="54"/>
      <c r="C135" s="348" t="s">
        <v>163</v>
      </c>
      <c r="D135" s="348"/>
      <c r="E135" s="348"/>
      <c r="F135" s="348"/>
      <c r="G135" s="348"/>
      <c r="H135" s="348"/>
      <c r="I135" s="348"/>
      <c r="J135" s="348"/>
      <c r="K135" s="65"/>
      <c r="L135" s="65"/>
      <c r="M135" s="54"/>
    </row>
    <row r="136" spans="1:13" ht="18" customHeight="1">
      <c r="A136" s="54"/>
      <c r="B136" s="54"/>
      <c r="C136" s="65"/>
      <c r="D136" s="65"/>
      <c r="E136" s="65"/>
      <c r="F136" s="65"/>
      <c r="G136" s="65"/>
      <c r="H136" s="65"/>
      <c r="I136" s="65"/>
      <c r="J136" s="65"/>
      <c r="K136" s="65"/>
      <c r="L136" s="65"/>
      <c r="M136" s="54"/>
    </row>
    <row r="137" spans="1:13" ht="18" customHeight="1">
      <c r="A137" s="54"/>
      <c r="B137" s="54"/>
      <c r="C137" s="65"/>
      <c r="D137" s="65"/>
      <c r="E137" s="65"/>
      <c r="F137" s="65"/>
      <c r="G137" s="65"/>
      <c r="H137" s="65"/>
      <c r="I137" s="65"/>
      <c r="J137" s="65"/>
      <c r="K137" s="65"/>
      <c r="L137" s="65"/>
      <c r="M137" s="54"/>
    </row>
    <row r="138" spans="1:13" ht="18.75">
      <c r="A138" s="355" t="s">
        <v>117</v>
      </c>
      <c r="B138" s="355"/>
      <c r="C138" s="355"/>
      <c r="D138" s="355"/>
      <c r="E138" s="355"/>
      <c r="F138" s="355"/>
      <c r="G138" s="355"/>
      <c r="H138" s="355"/>
      <c r="I138" s="355"/>
      <c r="J138" s="355"/>
      <c r="K138" s="65"/>
      <c r="L138" s="65"/>
      <c r="M138" s="54"/>
    </row>
    <row r="139" spans="1:13" ht="18" customHeight="1">
      <c r="A139" s="54"/>
      <c r="B139" s="54"/>
      <c r="C139" s="65"/>
      <c r="D139" s="65"/>
      <c r="E139" s="65"/>
      <c r="F139" s="65"/>
      <c r="G139" s="65"/>
      <c r="H139" s="65"/>
      <c r="I139" s="65"/>
      <c r="J139" s="65"/>
      <c r="K139" s="65"/>
      <c r="L139" s="65"/>
      <c r="M139" s="54"/>
    </row>
    <row r="140" spans="1:13" ht="18" customHeight="1">
      <c r="A140" s="54"/>
      <c r="B140" s="54"/>
      <c r="C140" s="65"/>
      <c r="D140" s="65"/>
      <c r="E140" s="65"/>
      <c r="F140" s="65"/>
      <c r="G140" s="65"/>
      <c r="H140" s="65"/>
      <c r="I140" s="65"/>
      <c r="J140" s="65"/>
      <c r="K140" s="65"/>
      <c r="L140" s="65"/>
      <c r="M140" s="54"/>
    </row>
    <row r="141" spans="1:13" ht="18" customHeight="1">
      <c r="A141" s="55">
        <v>17</v>
      </c>
      <c r="B141" s="55"/>
      <c r="C141" s="55" t="s">
        <v>67</v>
      </c>
      <c r="D141" s="54"/>
      <c r="E141" s="54"/>
      <c r="F141" s="54"/>
      <c r="G141" s="54"/>
      <c r="H141" s="54"/>
      <c r="I141" s="54"/>
      <c r="J141" s="54"/>
      <c r="K141" s="54"/>
      <c r="L141" s="54"/>
      <c r="M141" s="54"/>
    </row>
    <row r="142" spans="1:13" ht="18" customHeight="1">
      <c r="A142" s="71"/>
      <c r="B142" s="71"/>
      <c r="C142" s="358" t="s">
        <v>69</v>
      </c>
      <c r="D142" s="358"/>
      <c r="E142" s="358"/>
      <c r="F142" s="358"/>
      <c r="G142" s="358"/>
      <c r="H142" s="358"/>
      <c r="I142" s="358"/>
      <c r="J142" s="358"/>
      <c r="K142" s="358"/>
      <c r="L142" s="358"/>
      <c r="M142" s="54"/>
    </row>
    <row r="143" spans="1:13" ht="18" customHeight="1">
      <c r="A143" s="54"/>
      <c r="B143" s="54"/>
      <c r="C143" s="350"/>
      <c r="D143" s="350"/>
      <c r="E143" s="350"/>
      <c r="F143" s="350"/>
      <c r="G143" s="350"/>
      <c r="H143" s="350"/>
      <c r="I143" s="350"/>
      <c r="J143" s="350"/>
      <c r="K143" s="350"/>
      <c r="L143" s="350"/>
      <c r="M143" s="54"/>
    </row>
    <row r="144" spans="1:13" ht="18" customHeight="1">
      <c r="A144" s="54"/>
      <c r="B144" s="54"/>
      <c r="C144" s="69"/>
      <c r="D144" s="69"/>
      <c r="E144" s="69"/>
      <c r="F144" s="69"/>
      <c r="G144" s="69"/>
      <c r="H144" s="121" t="s">
        <v>283</v>
      </c>
      <c r="I144" s="121" t="s">
        <v>59</v>
      </c>
      <c r="J144" s="54"/>
      <c r="K144" s="65"/>
      <c r="L144" s="65"/>
      <c r="M144" s="54"/>
    </row>
    <row r="145" spans="1:13" ht="18" customHeight="1">
      <c r="A145" s="54"/>
      <c r="B145" s="54"/>
      <c r="C145" s="69"/>
      <c r="D145" s="69"/>
      <c r="E145" s="69"/>
      <c r="F145" s="69"/>
      <c r="G145" s="69"/>
      <c r="H145" s="57"/>
      <c r="I145" s="121">
        <v>2006</v>
      </c>
      <c r="J145" s="54"/>
      <c r="K145" s="65"/>
      <c r="L145" s="65"/>
      <c r="M145" s="54"/>
    </row>
    <row r="146" spans="1:13" ht="18" customHeight="1">
      <c r="A146" s="54"/>
      <c r="B146" s="54"/>
      <c r="C146" s="69"/>
      <c r="D146" s="69"/>
      <c r="E146" s="69"/>
      <c r="F146" s="69"/>
      <c r="G146" s="69"/>
      <c r="H146" s="360" t="s">
        <v>9</v>
      </c>
      <c r="I146" s="360"/>
      <c r="J146" s="54"/>
      <c r="K146" s="65"/>
      <c r="L146" s="65"/>
      <c r="M146" s="54"/>
    </row>
    <row r="147" spans="1:13" ht="18" customHeight="1">
      <c r="A147" s="54"/>
      <c r="B147" s="54"/>
      <c r="C147" s="69"/>
      <c r="D147" s="69"/>
      <c r="E147" s="69"/>
      <c r="F147" s="69"/>
      <c r="G147" s="69"/>
      <c r="H147" s="107"/>
      <c r="I147" s="107"/>
      <c r="J147" s="54"/>
      <c r="K147" s="65"/>
      <c r="L147" s="65"/>
      <c r="M147" s="54"/>
    </row>
    <row r="148" spans="1:13" ht="18" customHeight="1">
      <c r="A148" s="54"/>
      <c r="B148" s="54"/>
      <c r="C148" s="54" t="s">
        <v>70</v>
      </c>
      <c r="D148" s="69"/>
      <c r="E148" s="69"/>
      <c r="F148" s="69"/>
      <c r="G148" s="69"/>
      <c r="H148" s="135">
        <v>0</v>
      </c>
      <c r="I148" s="135">
        <v>0</v>
      </c>
      <c r="J148" s="54"/>
      <c r="K148" s="65"/>
      <c r="L148" s="65"/>
      <c r="M148" s="54"/>
    </row>
    <row r="149" spans="1:13" ht="18" customHeight="1">
      <c r="A149" s="54"/>
      <c r="B149" s="54"/>
      <c r="C149" s="54" t="s">
        <v>307</v>
      </c>
      <c r="D149" s="69"/>
      <c r="E149" s="69"/>
      <c r="F149" s="69"/>
      <c r="G149" s="69"/>
      <c r="H149" s="133">
        <v>-6</v>
      </c>
      <c r="I149" s="153">
        <f>H149</f>
        <v>-6</v>
      </c>
      <c r="J149" s="54"/>
      <c r="K149" s="65"/>
      <c r="L149" s="65"/>
      <c r="M149" s="54"/>
    </row>
    <row r="150" spans="1:13" ht="18" customHeight="1" thickBot="1">
      <c r="A150" s="54"/>
      <c r="B150" s="54"/>
      <c r="C150" s="69"/>
      <c r="D150" s="69"/>
      <c r="E150" s="69"/>
      <c r="F150" s="69"/>
      <c r="G150" s="69"/>
      <c r="H150" s="145"/>
      <c r="I150" s="145"/>
      <c r="J150" s="54"/>
      <c r="K150" s="65"/>
      <c r="L150" s="65"/>
      <c r="M150" s="54"/>
    </row>
    <row r="151" spans="1:13" ht="18" customHeight="1" thickTop="1">
      <c r="A151" s="54"/>
      <c r="B151" s="54"/>
      <c r="C151" s="69"/>
      <c r="D151" s="69"/>
      <c r="E151" s="69"/>
      <c r="F151" s="69"/>
      <c r="G151" s="69"/>
      <c r="H151" s="69"/>
      <c r="I151" s="83"/>
      <c r="J151" s="83"/>
      <c r="K151" s="65"/>
      <c r="L151" s="65"/>
      <c r="M151" s="54"/>
    </row>
    <row r="152" spans="1:13" ht="18" customHeight="1">
      <c r="A152" s="54"/>
      <c r="B152" s="54"/>
      <c r="C152" s="69"/>
      <c r="D152" s="69"/>
      <c r="E152" s="69"/>
      <c r="F152" s="69"/>
      <c r="G152" s="69"/>
      <c r="H152" s="69"/>
      <c r="I152" s="83"/>
      <c r="J152" s="83"/>
      <c r="K152" s="65"/>
      <c r="L152" s="65"/>
      <c r="M152" s="54"/>
    </row>
    <row r="153" spans="1:13" ht="18" customHeight="1">
      <c r="A153" s="55">
        <v>18</v>
      </c>
      <c r="B153" s="54"/>
      <c r="C153" s="55" t="s">
        <v>13</v>
      </c>
      <c r="D153" s="54"/>
      <c r="E153" s="54"/>
      <c r="F153" s="54"/>
      <c r="G153" s="54"/>
      <c r="H153" s="54"/>
      <c r="I153" s="54"/>
      <c r="J153" s="54"/>
      <c r="K153" s="54"/>
      <c r="L153" s="54"/>
      <c r="M153" s="54"/>
    </row>
    <row r="154" spans="1:13" ht="18" customHeight="1">
      <c r="A154" s="72" t="s">
        <v>14</v>
      </c>
      <c r="B154" s="54"/>
      <c r="C154" s="361" t="s">
        <v>60</v>
      </c>
      <c r="D154" s="361"/>
      <c r="E154" s="361"/>
      <c r="F154" s="361"/>
      <c r="G154" s="361"/>
      <c r="H154" s="361"/>
      <c r="I154" s="361"/>
      <c r="J154" s="361"/>
      <c r="K154" s="361"/>
      <c r="L154" s="361"/>
      <c r="M154" s="54"/>
    </row>
    <row r="155" spans="1:13" ht="18" customHeight="1">
      <c r="A155" s="72"/>
      <c r="B155" s="54"/>
      <c r="C155" s="58"/>
      <c r="D155" s="58"/>
      <c r="E155" s="58"/>
      <c r="F155" s="58"/>
      <c r="G155" s="58"/>
      <c r="H155" s="58"/>
      <c r="I155" s="58"/>
      <c r="J155" s="57"/>
      <c r="K155" s="58"/>
      <c r="L155" s="58"/>
      <c r="M155" s="54"/>
    </row>
    <row r="156" spans="1:13" ht="18" customHeight="1">
      <c r="A156" s="72"/>
      <c r="B156" s="54"/>
      <c r="C156" s="54"/>
      <c r="D156" s="54"/>
      <c r="E156" s="54"/>
      <c r="F156" s="54"/>
      <c r="G156" s="54"/>
      <c r="H156" s="121" t="s">
        <v>283</v>
      </c>
      <c r="I156" s="121" t="s">
        <v>59</v>
      </c>
      <c r="J156" s="54"/>
      <c r="K156" s="58"/>
      <c r="L156" s="58"/>
      <c r="M156" s="54"/>
    </row>
    <row r="157" spans="1:13" ht="18" customHeight="1">
      <c r="A157" s="72"/>
      <c r="B157" s="54"/>
      <c r="C157" s="54"/>
      <c r="D157" s="54"/>
      <c r="E157" s="54"/>
      <c r="F157" s="54"/>
      <c r="G157" s="54"/>
      <c r="H157" s="57"/>
      <c r="I157" s="121">
        <v>2006</v>
      </c>
      <c r="J157" s="54"/>
      <c r="K157" s="58"/>
      <c r="L157" s="58"/>
      <c r="M157" s="54"/>
    </row>
    <row r="158" spans="1:13" ht="18" customHeight="1">
      <c r="A158" s="72"/>
      <c r="B158" s="54"/>
      <c r="C158" s="54"/>
      <c r="D158" s="54"/>
      <c r="E158" s="54"/>
      <c r="F158" s="54"/>
      <c r="G158" s="54"/>
      <c r="H158" s="360" t="s">
        <v>9</v>
      </c>
      <c r="I158" s="360"/>
      <c r="J158" s="54"/>
      <c r="K158" s="58"/>
      <c r="L158" s="58"/>
      <c r="M158" s="54"/>
    </row>
    <row r="159" spans="1:13" ht="18" customHeight="1">
      <c r="A159" s="72"/>
      <c r="B159" s="54"/>
      <c r="C159" s="54"/>
      <c r="D159" s="54"/>
      <c r="E159" s="54"/>
      <c r="F159" s="54"/>
      <c r="G159" s="54"/>
      <c r="H159" s="54"/>
      <c r="I159" s="57"/>
      <c r="J159" s="54"/>
      <c r="K159" s="58"/>
      <c r="L159" s="58"/>
      <c r="M159" s="54"/>
    </row>
    <row r="160" spans="1:13" ht="18" customHeight="1">
      <c r="A160" s="72"/>
      <c r="B160" s="54"/>
      <c r="C160" s="54" t="s">
        <v>15</v>
      </c>
      <c r="D160" s="54"/>
      <c r="E160" s="54"/>
      <c r="F160" s="54"/>
      <c r="G160" s="54"/>
      <c r="H160" s="146">
        <v>0</v>
      </c>
      <c r="I160" s="146">
        <v>0</v>
      </c>
      <c r="J160" s="54"/>
      <c r="K160" s="58"/>
      <c r="L160" s="58"/>
      <c r="M160" s="54"/>
    </row>
    <row r="161" spans="1:13" ht="18" customHeight="1">
      <c r="A161" s="72"/>
      <c r="B161" s="54"/>
      <c r="C161" s="54" t="s">
        <v>61</v>
      </c>
      <c r="D161" s="54"/>
      <c r="E161" s="54"/>
      <c r="F161" s="54"/>
      <c r="G161" s="54"/>
      <c r="H161" s="147">
        <f>I161-45590</f>
        <v>24196</v>
      </c>
      <c r="I161" s="147">
        <v>69786</v>
      </c>
      <c r="J161" s="54"/>
      <c r="K161" s="58"/>
      <c r="L161" s="58"/>
      <c r="M161" s="54"/>
    </row>
    <row r="162" spans="1:13" ht="18" customHeight="1">
      <c r="A162" s="72"/>
      <c r="B162" s="54"/>
      <c r="C162" s="54" t="s">
        <v>164</v>
      </c>
      <c r="D162" s="54"/>
      <c r="E162" s="54"/>
      <c r="F162" s="148"/>
      <c r="G162" s="148"/>
      <c r="H162" s="149">
        <f>I162-31536</f>
        <v>16135</v>
      </c>
      <c r="I162" s="150">
        <v>47671</v>
      </c>
      <c r="J162" s="54"/>
      <c r="K162" s="58"/>
      <c r="L162" s="58"/>
      <c r="M162" s="54"/>
    </row>
    <row r="163" spans="1:13" ht="18" customHeight="1" thickBot="1">
      <c r="A163" s="54"/>
      <c r="B163" s="54"/>
      <c r="C163" s="54"/>
      <c r="D163" s="54"/>
      <c r="E163" s="54"/>
      <c r="F163" s="54"/>
      <c r="G163" s="54"/>
      <c r="H163" s="151"/>
      <c r="I163" s="151"/>
      <c r="J163" s="54"/>
      <c r="K163" s="54"/>
      <c r="L163" s="54"/>
      <c r="M163" s="54"/>
    </row>
    <row r="164" spans="1:13" ht="18" customHeight="1" thickTop="1">
      <c r="A164" s="54"/>
      <c r="B164" s="54"/>
      <c r="C164" s="54"/>
      <c r="D164" s="54"/>
      <c r="E164" s="54"/>
      <c r="F164" s="54"/>
      <c r="G164" s="54"/>
      <c r="H164" s="54"/>
      <c r="I164" s="83"/>
      <c r="J164" s="152"/>
      <c r="K164" s="54"/>
      <c r="L164" s="54"/>
      <c r="M164" s="54"/>
    </row>
    <row r="165" spans="1:13" ht="18" customHeight="1">
      <c r="A165" s="72" t="s">
        <v>16</v>
      </c>
      <c r="B165" s="54"/>
      <c r="C165" s="54" t="s">
        <v>286</v>
      </c>
      <c r="D165" s="54"/>
      <c r="E165" s="54"/>
      <c r="F165" s="54"/>
      <c r="G165" s="54"/>
      <c r="H165" s="54"/>
      <c r="I165" s="54"/>
      <c r="J165" s="54"/>
      <c r="K165" s="54"/>
      <c r="L165" s="54"/>
      <c r="M165" s="54"/>
    </row>
    <row r="166" spans="1:13" ht="18" customHeight="1">
      <c r="A166" s="72"/>
      <c r="B166" s="54"/>
      <c r="C166" s="54"/>
      <c r="D166" s="54"/>
      <c r="E166" s="54"/>
      <c r="F166" s="54"/>
      <c r="G166" s="54"/>
      <c r="H166" s="54"/>
      <c r="I166" s="54"/>
      <c r="J166" s="54"/>
      <c r="K166" s="54"/>
      <c r="L166" s="54"/>
      <c r="M166" s="54"/>
    </row>
    <row r="167" spans="1:13" ht="18" customHeight="1">
      <c r="A167" s="72"/>
      <c r="B167" s="54"/>
      <c r="C167" s="54"/>
      <c r="D167" s="54"/>
      <c r="E167" s="54"/>
      <c r="F167" s="54"/>
      <c r="G167" s="54"/>
      <c r="H167" s="54"/>
      <c r="I167" s="53" t="s">
        <v>9</v>
      </c>
      <c r="J167" s="54"/>
      <c r="K167" s="54"/>
      <c r="L167" s="54"/>
      <c r="M167" s="54"/>
    </row>
    <row r="168" spans="1:13" ht="18" customHeight="1">
      <c r="A168" s="72"/>
      <c r="B168" s="54"/>
      <c r="C168" s="54"/>
      <c r="D168" s="54"/>
      <c r="E168" s="54"/>
      <c r="F168" s="54"/>
      <c r="G168" s="54"/>
      <c r="H168" s="54"/>
      <c r="I168" s="57"/>
      <c r="J168" s="54"/>
      <c r="K168" s="54"/>
      <c r="L168" s="54"/>
      <c r="M168" s="54"/>
    </row>
    <row r="169" spans="1:13" ht="18" customHeight="1">
      <c r="A169" s="72"/>
      <c r="B169" s="54"/>
      <c r="C169" s="54" t="s">
        <v>17</v>
      </c>
      <c r="D169" s="54"/>
      <c r="E169" s="54"/>
      <c r="F169" s="54"/>
      <c r="G169" s="54"/>
      <c r="H169" s="54"/>
      <c r="I169" s="133">
        <f>'[2]bs'!F18</f>
        <v>11718</v>
      </c>
      <c r="J169" s="54"/>
      <c r="K169" s="54"/>
      <c r="L169" s="54"/>
      <c r="M169" s="54"/>
    </row>
    <row r="170" spans="1:13" ht="18" customHeight="1">
      <c r="A170" s="72"/>
      <c r="B170" s="54"/>
      <c r="C170" s="54" t="s">
        <v>42</v>
      </c>
      <c r="D170" s="54"/>
      <c r="E170" s="54"/>
      <c r="F170" s="54"/>
      <c r="G170" s="54"/>
      <c r="H170" s="54"/>
      <c r="I170" s="153">
        <v>0</v>
      </c>
      <c r="J170" s="54"/>
      <c r="K170" s="54"/>
      <c r="L170" s="54"/>
      <c r="M170" s="54"/>
    </row>
    <row r="171" spans="1:13" ht="18" customHeight="1">
      <c r="A171" s="72"/>
      <c r="B171" s="54"/>
      <c r="C171" s="54"/>
      <c r="D171" s="54"/>
      <c r="E171" s="54"/>
      <c r="F171" s="54"/>
      <c r="G171" s="54"/>
      <c r="H171" s="54"/>
      <c r="I171" s="133"/>
      <c r="J171" s="54"/>
      <c r="K171" s="54"/>
      <c r="L171" s="54"/>
      <c r="M171" s="54"/>
    </row>
    <row r="172" spans="1:13" ht="18" customHeight="1">
      <c r="A172" s="72"/>
      <c r="B172" s="54"/>
      <c r="C172" s="54" t="s">
        <v>43</v>
      </c>
      <c r="D172" s="54"/>
      <c r="E172" s="54"/>
      <c r="F172" s="54"/>
      <c r="G172" s="54"/>
      <c r="H172" s="54"/>
      <c r="I172" s="154">
        <f>I169+I170</f>
        <v>11718</v>
      </c>
      <c r="J172" s="54"/>
      <c r="K172" s="54"/>
      <c r="L172" s="54"/>
      <c r="M172" s="54"/>
    </row>
    <row r="173" spans="1:13" ht="18" customHeight="1">
      <c r="A173" s="72"/>
      <c r="B173" s="54"/>
      <c r="C173" s="54"/>
      <c r="D173" s="54"/>
      <c r="E173" s="54"/>
      <c r="F173" s="54"/>
      <c r="G173" s="54"/>
      <c r="H173" s="54"/>
      <c r="I173" s="155"/>
      <c r="J173" s="54"/>
      <c r="K173" s="54"/>
      <c r="L173" s="54"/>
      <c r="M173" s="54"/>
    </row>
    <row r="174" spans="1:13" ht="18" customHeight="1">
      <c r="A174" s="72"/>
      <c r="B174" s="54"/>
      <c r="C174" s="54" t="s">
        <v>143</v>
      </c>
      <c r="D174" s="54"/>
      <c r="E174" s="54"/>
      <c r="F174" s="54"/>
      <c r="G174" s="54"/>
      <c r="H174" s="54"/>
      <c r="I174" s="156">
        <v>0</v>
      </c>
      <c r="J174" s="54"/>
      <c r="K174" s="54"/>
      <c r="L174" s="54"/>
      <c r="M174" s="54"/>
    </row>
    <row r="175" spans="1:13" ht="18" customHeight="1">
      <c r="A175" s="72"/>
      <c r="B175" s="54"/>
      <c r="C175" s="54"/>
      <c r="D175" s="54"/>
      <c r="E175" s="54"/>
      <c r="F175" s="54"/>
      <c r="G175" s="54"/>
      <c r="H175" s="54"/>
      <c r="I175" s="155">
        <f>I172+I174</f>
        <v>11718</v>
      </c>
      <c r="J175" s="54"/>
      <c r="K175" s="54"/>
      <c r="L175" s="54"/>
      <c r="M175" s="54"/>
    </row>
    <row r="176" spans="1:13" ht="18" customHeight="1">
      <c r="A176" s="72"/>
      <c r="B176" s="54"/>
      <c r="C176" s="54" t="s">
        <v>147</v>
      </c>
      <c r="D176" s="54"/>
      <c r="E176" s="54"/>
      <c r="F176" s="54"/>
      <c r="G176" s="54"/>
      <c r="H176" s="54"/>
      <c r="I176" s="155">
        <v>0</v>
      </c>
      <c r="J176" s="54"/>
      <c r="K176" s="54"/>
      <c r="L176" s="54"/>
      <c r="M176" s="54"/>
    </row>
    <row r="177" spans="1:13" ht="18" customHeight="1" thickBot="1">
      <c r="A177" s="72"/>
      <c r="B177" s="54"/>
      <c r="C177" s="54"/>
      <c r="D177" s="54"/>
      <c r="E177" s="54"/>
      <c r="F177" s="54"/>
      <c r="G177" s="54"/>
      <c r="H177" s="54"/>
      <c r="I177" s="157">
        <f>I175+I176</f>
        <v>11718</v>
      </c>
      <c r="J177" s="54"/>
      <c r="K177" s="54"/>
      <c r="L177" s="54"/>
      <c r="M177" s="54"/>
    </row>
    <row r="178" spans="1:13" ht="18" customHeight="1" thickTop="1">
      <c r="A178" s="72"/>
      <c r="B178" s="54"/>
      <c r="C178" s="54"/>
      <c r="D178" s="54"/>
      <c r="E178" s="54"/>
      <c r="F178" s="54"/>
      <c r="G178" s="54"/>
      <c r="H178" s="54"/>
      <c r="I178" s="72"/>
      <c r="J178" s="54"/>
      <c r="K178" s="54"/>
      <c r="L178" s="54"/>
      <c r="M178" s="54"/>
    </row>
    <row r="179" spans="1:13" ht="18" customHeight="1" thickBot="1">
      <c r="A179" s="54"/>
      <c r="B179" s="54"/>
      <c r="C179" s="54" t="s">
        <v>148</v>
      </c>
      <c r="D179" s="54"/>
      <c r="E179" s="54"/>
      <c r="F179" s="54"/>
      <c r="G179" s="54"/>
      <c r="H179" s="54"/>
      <c r="I179" s="158">
        <v>43426</v>
      </c>
      <c r="J179" s="54"/>
      <c r="K179" s="54"/>
      <c r="L179" s="54"/>
      <c r="M179" s="54"/>
    </row>
    <row r="180" spans="1:13" ht="18" customHeight="1" thickTop="1">
      <c r="A180" s="54"/>
      <c r="B180" s="54"/>
      <c r="C180" s="54"/>
      <c r="D180" s="54"/>
      <c r="E180" s="54" t="s">
        <v>47</v>
      </c>
      <c r="F180" s="54"/>
      <c r="G180" s="54"/>
      <c r="H180" s="54"/>
      <c r="I180" s="54"/>
      <c r="J180" s="159"/>
      <c r="K180" s="54"/>
      <c r="L180" s="54"/>
      <c r="M180" s="54"/>
    </row>
    <row r="181" spans="1:13" ht="18" customHeight="1">
      <c r="A181" s="54"/>
      <c r="B181" s="54"/>
      <c r="C181" s="54"/>
      <c r="D181" s="54"/>
      <c r="E181" s="54"/>
      <c r="F181" s="54"/>
      <c r="G181" s="54"/>
      <c r="H181" s="54"/>
      <c r="I181" s="54"/>
      <c r="J181" s="159"/>
      <c r="K181" s="54"/>
      <c r="L181" s="54"/>
      <c r="M181" s="54"/>
    </row>
    <row r="182" spans="1:13" ht="18" customHeight="1">
      <c r="A182" s="355"/>
      <c r="B182" s="355"/>
      <c r="C182" s="355"/>
      <c r="D182" s="355"/>
      <c r="E182" s="355"/>
      <c r="F182" s="355"/>
      <c r="G182" s="355"/>
      <c r="H182" s="355"/>
      <c r="I182" s="355"/>
      <c r="J182" s="355"/>
      <c r="K182" s="54"/>
      <c r="L182" s="54"/>
      <c r="M182" s="54"/>
    </row>
    <row r="183" spans="1:13" ht="18" customHeight="1">
      <c r="A183" s="355" t="s">
        <v>3</v>
      </c>
      <c r="B183" s="355"/>
      <c r="C183" s="355"/>
      <c r="D183" s="355"/>
      <c r="E183" s="355"/>
      <c r="F183" s="355"/>
      <c r="G183" s="355"/>
      <c r="H183" s="355"/>
      <c r="I183" s="355"/>
      <c r="J183" s="355"/>
      <c r="K183" s="54"/>
      <c r="L183" s="54"/>
      <c r="M183" s="54"/>
    </row>
    <row r="184" spans="1:13" ht="18" customHeight="1">
      <c r="A184" s="54"/>
      <c r="B184" s="54"/>
      <c r="C184" s="54"/>
      <c r="D184" s="54"/>
      <c r="E184" s="54"/>
      <c r="F184" s="54"/>
      <c r="G184" s="54"/>
      <c r="H184" s="54"/>
      <c r="I184" s="54"/>
      <c r="J184" s="159"/>
      <c r="K184" s="54"/>
      <c r="L184" s="54"/>
      <c r="M184" s="54"/>
    </row>
    <row r="185" spans="1:13" ht="45" customHeight="1">
      <c r="A185" s="160">
        <v>19</v>
      </c>
      <c r="B185" s="161"/>
      <c r="C185" s="387" t="s">
        <v>44</v>
      </c>
      <c r="D185" s="387"/>
      <c r="E185" s="387"/>
      <c r="F185" s="387"/>
      <c r="G185" s="387"/>
      <c r="H185" s="387"/>
      <c r="I185" s="387"/>
      <c r="J185" s="387"/>
      <c r="K185" s="387"/>
      <c r="L185" s="387"/>
      <c r="M185" s="54"/>
    </row>
    <row r="186" spans="1:13" ht="125.25" customHeight="1">
      <c r="A186" s="120" t="s">
        <v>14</v>
      </c>
      <c r="B186" s="54"/>
      <c r="C186" s="350" t="s">
        <v>253</v>
      </c>
      <c r="D186" s="350"/>
      <c r="E186" s="350"/>
      <c r="F186" s="350"/>
      <c r="G186" s="350"/>
      <c r="H186" s="350"/>
      <c r="I186" s="350"/>
      <c r="J186" s="350"/>
      <c r="K186" s="350"/>
      <c r="L186" s="350"/>
      <c r="M186" s="54"/>
    </row>
    <row r="187" spans="1:13" ht="27" customHeight="1">
      <c r="A187" s="72"/>
      <c r="B187" s="54"/>
      <c r="C187" s="354" t="s">
        <v>133</v>
      </c>
      <c r="D187" s="354"/>
      <c r="E187" s="354"/>
      <c r="F187" s="354"/>
      <c r="G187" s="354"/>
      <c r="H187" s="354"/>
      <c r="I187" s="354"/>
      <c r="J187" s="354"/>
      <c r="K187" s="54"/>
      <c r="L187" s="54"/>
      <c r="M187" s="54"/>
    </row>
    <row r="188" spans="1:13" ht="27" customHeight="1">
      <c r="A188" s="72"/>
      <c r="B188" s="54"/>
      <c r="C188" s="354" t="s">
        <v>140</v>
      </c>
      <c r="D188" s="354"/>
      <c r="E188" s="354"/>
      <c r="F188" s="354"/>
      <c r="G188" s="354"/>
      <c r="H188" s="354"/>
      <c r="I188" s="354"/>
      <c r="J188" s="354"/>
      <c r="K188" s="54"/>
      <c r="L188" s="54"/>
      <c r="M188" s="54"/>
    </row>
    <row r="189" spans="1:13" ht="27" customHeight="1">
      <c r="A189" s="72"/>
      <c r="B189" s="54"/>
      <c r="C189" s="130"/>
      <c r="D189" s="130"/>
      <c r="E189" s="130"/>
      <c r="F189" s="130"/>
      <c r="G189" s="130"/>
      <c r="H189" s="130"/>
      <c r="I189" s="130"/>
      <c r="J189" s="130"/>
      <c r="K189" s="54"/>
      <c r="L189" s="54"/>
      <c r="M189" s="54"/>
    </row>
    <row r="190" spans="1:13" ht="42.75" customHeight="1">
      <c r="A190" s="72"/>
      <c r="B190" s="54"/>
      <c r="C190" s="130"/>
      <c r="D190" s="130"/>
      <c r="E190" s="130"/>
      <c r="F190" s="162" t="s">
        <v>134</v>
      </c>
      <c r="G190" s="162"/>
      <c r="H190" s="163" t="s">
        <v>287</v>
      </c>
      <c r="I190" s="162" t="s">
        <v>135</v>
      </c>
      <c r="J190" s="54"/>
      <c r="K190" s="54"/>
      <c r="L190" s="54"/>
      <c r="M190" s="54"/>
    </row>
    <row r="191" spans="1:13" ht="69" customHeight="1">
      <c r="A191" s="72"/>
      <c r="B191" s="54"/>
      <c r="C191" s="358" t="s">
        <v>136</v>
      </c>
      <c r="D191" s="358"/>
      <c r="E191" s="130"/>
      <c r="F191" s="164">
        <v>70000000</v>
      </c>
      <c r="G191" s="164"/>
      <c r="H191" s="164">
        <v>19299954.76</v>
      </c>
      <c r="I191" s="164">
        <f>F191-H191</f>
        <v>50700045.239999995</v>
      </c>
      <c r="J191" s="54"/>
      <c r="K191" s="54"/>
      <c r="L191" s="54"/>
      <c r="M191" s="54"/>
    </row>
    <row r="192" spans="1:13" ht="38.25" customHeight="1">
      <c r="A192" s="72"/>
      <c r="B192" s="54"/>
      <c r="C192" s="359" t="s">
        <v>138</v>
      </c>
      <c r="D192" s="359"/>
      <c r="E192" s="130"/>
      <c r="F192" s="165">
        <v>82360000</v>
      </c>
      <c r="G192" s="165"/>
      <c r="H192" s="165">
        <v>82360000</v>
      </c>
      <c r="I192" s="166" t="s">
        <v>137</v>
      </c>
      <c r="J192" s="54"/>
      <c r="K192" s="54"/>
      <c r="L192" s="54"/>
      <c r="M192" s="54"/>
    </row>
    <row r="193" spans="1:13" ht="41.25" customHeight="1">
      <c r="A193" s="72"/>
      <c r="B193" s="54"/>
      <c r="C193" s="359" t="s">
        <v>139</v>
      </c>
      <c r="D193" s="359"/>
      <c r="E193" s="130"/>
      <c r="F193" s="165">
        <v>47640000</v>
      </c>
      <c r="G193" s="165"/>
      <c r="H193" s="165">
        <v>47640000</v>
      </c>
      <c r="I193" s="166" t="s">
        <v>137</v>
      </c>
      <c r="J193" s="54"/>
      <c r="K193" s="54"/>
      <c r="L193" s="54"/>
      <c r="M193" s="54"/>
    </row>
    <row r="194" spans="1:13" ht="21" customHeight="1" thickBot="1">
      <c r="A194" s="72"/>
      <c r="B194" s="54"/>
      <c r="C194" s="131"/>
      <c r="D194" s="131"/>
      <c r="E194" s="130"/>
      <c r="F194" s="167">
        <f>SUM(F191:F193)</f>
        <v>200000000</v>
      </c>
      <c r="G194" s="167"/>
      <c r="H194" s="167">
        <f>SUM(H191:H193)</f>
        <v>149299954.76</v>
      </c>
      <c r="I194" s="167">
        <f>SUM(I191:I193)</f>
        <v>50700045.239999995</v>
      </c>
      <c r="J194" s="54"/>
      <c r="K194" s="54"/>
      <c r="L194" s="54"/>
      <c r="M194" s="54"/>
    </row>
    <row r="195" spans="1:13" ht="21" customHeight="1" thickTop="1">
      <c r="A195" s="72"/>
      <c r="B195" s="54"/>
      <c r="C195" s="130"/>
      <c r="D195" s="130"/>
      <c r="E195" s="130"/>
      <c r="F195" s="130"/>
      <c r="G195" s="130"/>
      <c r="H195" s="130"/>
      <c r="I195" s="130"/>
      <c r="J195" s="130"/>
      <c r="K195" s="54"/>
      <c r="L195" s="54"/>
      <c r="M195" s="54"/>
    </row>
    <row r="196" spans="1:13" ht="50.25" customHeight="1" hidden="1">
      <c r="A196" s="54"/>
      <c r="B196" s="54"/>
      <c r="C196" s="350"/>
      <c r="D196" s="350"/>
      <c r="E196" s="350"/>
      <c r="F196" s="350"/>
      <c r="G196" s="350"/>
      <c r="H196" s="350"/>
      <c r="I196" s="350"/>
      <c r="J196" s="350"/>
      <c r="K196" s="54"/>
      <c r="L196" s="54"/>
      <c r="M196" s="54"/>
    </row>
    <row r="197" spans="1:13" ht="18.75" customHeight="1">
      <c r="A197" s="120" t="s">
        <v>16</v>
      </c>
      <c r="B197" s="54"/>
      <c r="C197" s="354" t="s">
        <v>262</v>
      </c>
      <c r="D197" s="354"/>
      <c r="E197" s="354"/>
      <c r="F197" s="354"/>
      <c r="G197" s="354"/>
      <c r="H197" s="354"/>
      <c r="I197" s="354"/>
      <c r="J197" s="354"/>
      <c r="K197" s="54"/>
      <c r="L197" s="54"/>
      <c r="M197" s="54"/>
    </row>
    <row r="198" spans="1:13" ht="18" customHeight="1">
      <c r="A198" s="54"/>
      <c r="B198" s="54"/>
      <c r="C198" s="168"/>
      <c r="D198" s="168"/>
      <c r="E198" s="168"/>
      <c r="F198" s="168"/>
      <c r="G198" s="168"/>
      <c r="H198" s="168"/>
      <c r="I198" s="168"/>
      <c r="J198" s="168"/>
      <c r="K198" s="54"/>
      <c r="L198" s="54"/>
      <c r="M198" s="54"/>
    </row>
    <row r="199" spans="1:13" ht="18" customHeight="1">
      <c r="A199" s="54"/>
      <c r="B199" s="54"/>
      <c r="C199" s="168"/>
      <c r="D199" s="168"/>
      <c r="E199" s="168"/>
      <c r="F199" s="168"/>
      <c r="G199" s="168"/>
      <c r="H199" s="168"/>
      <c r="I199" s="168"/>
      <c r="J199" s="168"/>
      <c r="K199" s="54"/>
      <c r="L199" s="54"/>
      <c r="M199" s="54"/>
    </row>
    <row r="200" spans="1:13" ht="18" customHeight="1">
      <c r="A200" s="54"/>
      <c r="B200" s="54"/>
      <c r="C200" s="350"/>
      <c r="D200" s="350"/>
      <c r="E200" s="350"/>
      <c r="F200" s="350"/>
      <c r="G200" s="350"/>
      <c r="H200" s="350"/>
      <c r="I200" s="350"/>
      <c r="J200" s="350"/>
      <c r="K200" s="54"/>
      <c r="L200" s="54"/>
      <c r="M200" s="54"/>
    </row>
    <row r="201" spans="1:13" ht="18" customHeight="1">
      <c r="A201" s="55">
        <v>20</v>
      </c>
      <c r="B201" s="55"/>
      <c r="C201" s="55" t="s">
        <v>27</v>
      </c>
      <c r="D201" s="54"/>
      <c r="E201" s="54"/>
      <c r="F201" s="54"/>
      <c r="G201" s="54"/>
      <c r="H201" s="54"/>
      <c r="I201" s="54"/>
      <c r="J201" s="54"/>
      <c r="K201" s="54"/>
      <c r="L201" s="54"/>
      <c r="M201" s="54"/>
    </row>
    <row r="202" spans="1:17" ht="21" customHeight="1">
      <c r="A202" s="54"/>
      <c r="B202" s="54"/>
      <c r="C202" s="358" t="s">
        <v>288</v>
      </c>
      <c r="D202" s="358"/>
      <c r="E202" s="358"/>
      <c r="F202" s="358"/>
      <c r="G202" s="358"/>
      <c r="H202" s="358"/>
      <c r="I202" s="358"/>
      <c r="J202" s="358"/>
      <c r="K202" s="358"/>
      <c r="L202" s="358"/>
      <c r="M202" s="73"/>
      <c r="Q202" s="29"/>
    </row>
    <row r="203" spans="1:17" ht="0.75" customHeight="1" hidden="1">
      <c r="A203" s="54"/>
      <c r="B203" s="54"/>
      <c r="C203" s="358"/>
      <c r="D203" s="358"/>
      <c r="E203" s="358"/>
      <c r="F203" s="358"/>
      <c r="G203" s="358"/>
      <c r="H203" s="358"/>
      <c r="I203" s="358"/>
      <c r="J203" s="358"/>
      <c r="K203" s="358"/>
      <c r="L203" s="358"/>
      <c r="M203" s="73" t="s">
        <v>5</v>
      </c>
      <c r="Q203" s="29"/>
    </row>
    <row r="204" spans="1:17" ht="20.25" customHeight="1">
      <c r="A204" s="54"/>
      <c r="B204" s="54"/>
      <c r="C204" s="54"/>
      <c r="D204" s="54"/>
      <c r="E204" s="54"/>
      <c r="F204" s="54"/>
      <c r="G204" s="54"/>
      <c r="H204" s="54"/>
      <c r="I204" s="53" t="s">
        <v>9</v>
      </c>
      <c r="J204" s="54"/>
      <c r="K204" s="69"/>
      <c r="L204" s="69"/>
      <c r="M204" s="54"/>
      <c r="Q204" s="29"/>
    </row>
    <row r="205" spans="1:17" ht="20.25" customHeight="1">
      <c r="A205" s="54"/>
      <c r="B205" s="54"/>
      <c r="C205" s="55" t="s">
        <v>46</v>
      </c>
      <c r="D205" s="54"/>
      <c r="E205" s="54"/>
      <c r="F205" s="54"/>
      <c r="G205" s="54"/>
      <c r="H205" s="54"/>
      <c r="I205" s="169"/>
      <c r="J205" s="54"/>
      <c r="K205" s="69"/>
      <c r="L205" s="69"/>
      <c r="M205" s="73"/>
      <c r="Q205" s="29"/>
    </row>
    <row r="206" spans="1:17" ht="18" customHeight="1">
      <c r="A206" s="54"/>
      <c r="B206" s="54"/>
      <c r="C206" s="54" t="s">
        <v>28</v>
      </c>
      <c r="D206" s="54"/>
      <c r="E206" s="54"/>
      <c r="F206" s="54"/>
      <c r="G206" s="54"/>
      <c r="H206" s="54"/>
      <c r="I206" s="169">
        <f>1975</f>
        <v>1975</v>
      </c>
      <c r="J206" s="54"/>
      <c r="K206" s="69"/>
      <c r="L206" s="69"/>
      <c r="M206" s="73"/>
      <c r="Q206" s="29"/>
    </row>
    <row r="207" spans="1:17" ht="18.75">
      <c r="A207" s="54"/>
      <c r="B207" s="54"/>
      <c r="C207" s="54" t="s">
        <v>29</v>
      </c>
      <c r="D207" s="54"/>
      <c r="E207" s="54"/>
      <c r="F207" s="54"/>
      <c r="G207" s="54"/>
      <c r="H207" s="54"/>
      <c r="I207" s="169">
        <f>44130+91770+286</f>
        <v>136186</v>
      </c>
      <c r="J207" s="54"/>
      <c r="K207" s="69"/>
      <c r="L207" s="69"/>
      <c r="M207" s="54"/>
      <c r="Q207" s="29"/>
    </row>
    <row r="208" spans="1:17" ht="18.75">
      <c r="A208" s="54"/>
      <c r="B208" s="54"/>
      <c r="C208" s="54" t="s">
        <v>144</v>
      </c>
      <c r="D208" s="54"/>
      <c r="E208" s="54"/>
      <c r="F208" s="54"/>
      <c r="G208" s="54"/>
      <c r="H208" s="54"/>
      <c r="I208" s="169">
        <v>20000</v>
      </c>
      <c r="J208" s="54"/>
      <c r="K208" s="69"/>
      <c r="L208" s="69"/>
      <c r="M208" s="54"/>
      <c r="Q208" s="29"/>
    </row>
    <row r="209" spans="1:17" ht="18.75">
      <c r="A209" s="54"/>
      <c r="B209" s="54"/>
      <c r="C209" s="54" t="s">
        <v>219</v>
      </c>
      <c r="D209" s="54"/>
      <c r="E209" s="54"/>
      <c r="F209" s="54"/>
      <c r="G209" s="54"/>
      <c r="H209" s="54"/>
      <c r="I209" s="169">
        <f>8842</f>
        <v>8842</v>
      </c>
      <c r="J209" s="54"/>
      <c r="K209" s="69"/>
      <c r="L209" s="69"/>
      <c r="M209" s="54"/>
      <c r="Q209" s="29"/>
    </row>
    <row r="210" spans="1:17" ht="18.75">
      <c r="A210" s="54"/>
      <c r="B210" s="54"/>
      <c r="C210" s="54"/>
      <c r="D210" s="54"/>
      <c r="E210" s="54"/>
      <c r="F210" s="54"/>
      <c r="G210" s="54"/>
      <c r="H210" s="54"/>
      <c r="I210" s="169"/>
      <c r="J210" s="54"/>
      <c r="K210" s="69"/>
      <c r="L210" s="69"/>
      <c r="N210" s="54" t="s">
        <v>289</v>
      </c>
      <c r="Q210" s="29"/>
    </row>
    <row r="211" spans="1:17" ht="19.5" thickBot="1">
      <c r="A211" s="54"/>
      <c r="B211" s="54"/>
      <c r="C211" s="54"/>
      <c r="D211" s="54"/>
      <c r="E211" s="54"/>
      <c r="F211" s="54"/>
      <c r="G211" s="54"/>
      <c r="H211" s="54"/>
      <c r="I211" s="170">
        <f>SUM(I206:I210)</f>
        <v>167003</v>
      </c>
      <c r="J211" s="54"/>
      <c r="K211" s="69"/>
      <c r="L211" s="69"/>
      <c r="M211" s="236">
        <f>I211-N211</f>
        <v>0</v>
      </c>
      <c r="N211" s="70">
        <f>'[2]bs'!F50</f>
        <v>167003</v>
      </c>
      <c r="Q211" s="29"/>
    </row>
    <row r="212" spans="1:17" ht="14.25" customHeight="1" thickTop="1">
      <c r="A212" s="54"/>
      <c r="B212" s="54"/>
      <c r="C212" s="54"/>
      <c r="D212" s="54"/>
      <c r="E212" s="54"/>
      <c r="F212" s="54"/>
      <c r="G212" s="54"/>
      <c r="H212" s="54"/>
      <c r="I212" s="54"/>
      <c r="J212" s="169"/>
      <c r="K212" s="69"/>
      <c r="L212" s="69"/>
      <c r="M212" s="54"/>
      <c r="Q212" s="29"/>
    </row>
    <row r="213" spans="1:17" ht="14.25" customHeight="1">
      <c r="A213" s="55"/>
      <c r="B213" s="54"/>
      <c r="C213" s="55"/>
      <c r="D213" s="54"/>
      <c r="E213" s="54"/>
      <c r="F213" s="54"/>
      <c r="G213" s="54"/>
      <c r="H213" s="54"/>
      <c r="I213" s="54"/>
      <c r="J213" s="169"/>
      <c r="K213" s="69"/>
      <c r="L213" s="69"/>
      <c r="M213" s="54"/>
      <c r="Q213" s="29"/>
    </row>
    <row r="214" spans="1:17" ht="18.75">
      <c r="A214" s="355" t="s">
        <v>4</v>
      </c>
      <c r="B214" s="355"/>
      <c r="C214" s="355"/>
      <c r="D214" s="355"/>
      <c r="E214" s="355"/>
      <c r="F214" s="355"/>
      <c r="G214" s="355"/>
      <c r="H214" s="355"/>
      <c r="I214" s="355"/>
      <c r="J214" s="355"/>
      <c r="K214" s="69"/>
      <c r="L214" s="69"/>
      <c r="M214" s="54"/>
      <c r="Q214" s="29"/>
    </row>
    <row r="215" spans="1:17" ht="14.25" customHeight="1">
      <c r="A215" s="54"/>
      <c r="B215" s="54"/>
      <c r="C215" s="54"/>
      <c r="D215" s="54"/>
      <c r="E215" s="54"/>
      <c r="F215" s="54"/>
      <c r="G215" s="54"/>
      <c r="H215" s="54"/>
      <c r="I215" s="54"/>
      <c r="J215" s="159"/>
      <c r="K215" s="69"/>
      <c r="L215" s="69"/>
      <c r="M215" s="54"/>
      <c r="Q215" s="29"/>
    </row>
    <row r="216" spans="1:17" ht="14.25" customHeight="1">
      <c r="A216" s="54"/>
      <c r="B216" s="54"/>
      <c r="C216" s="54"/>
      <c r="D216" s="54"/>
      <c r="E216" s="54"/>
      <c r="F216" s="54"/>
      <c r="G216" s="54"/>
      <c r="H216" s="54"/>
      <c r="I216" s="54"/>
      <c r="J216" s="159"/>
      <c r="K216" s="69"/>
      <c r="L216" s="69"/>
      <c r="M216" s="54"/>
      <c r="Q216" s="29"/>
    </row>
    <row r="217" spans="1:13" ht="18.75">
      <c r="A217" s="55">
        <v>21</v>
      </c>
      <c r="B217" s="55"/>
      <c r="C217" s="55" t="s">
        <v>30</v>
      </c>
      <c r="D217" s="54"/>
      <c r="E217" s="54"/>
      <c r="F217" s="54"/>
      <c r="G217" s="54"/>
      <c r="H217" s="54"/>
      <c r="I217" s="54"/>
      <c r="J217" s="54"/>
      <c r="K217" s="54"/>
      <c r="L217" s="54"/>
      <c r="M217" s="54"/>
    </row>
    <row r="218" spans="1:13" ht="39.75" customHeight="1">
      <c r="A218" s="54"/>
      <c r="B218" s="54"/>
      <c r="C218" s="348" t="s">
        <v>290</v>
      </c>
      <c r="D218" s="348"/>
      <c r="E218" s="348"/>
      <c r="F218" s="348"/>
      <c r="G218" s="348"/>
      <c r="H218" s="348"/>
      <c r="I218" s="348"/>
      <c r="J218" s="348"/>
      <c r="K218" s="348"/>
      <c r="L218" s="348"/>
      <c r="M218" s="54"/>
    </row>
    <row r="219" spans="1:13" ht="13.5" customHeight="1">
      <c r="A219" s="54"/>
      <c r="B219" s="54"/>
      <c r="C219" s="65"/>
      <c r="D219" s="65"/>
      <c r="E219" s="65"/>
      <c r="F219" s="65"/>
      <c r="G219" s="65"/>
      <c r="H219" s="65"/>
      <c r="I219" s="65"/>
      <c r="J219" s="65"/>
      <c r="K219" s="65"/>
      <c r="L219" s="65"/>
      <c r="M219" s="54"/>
    </row>
    <row r="220" spans="1:13" ht="13.5" customHeight="1">
      <c r="A220" s="54"/>
      <c r="B220" s="54"/>
      <c r="C220" s="54"/>
      <c r="D220" s="54"/>
      <c r="E220" s="54"/>
      <c r="F220" s="54"/>
      <c r="G220" s="54"/>
      <c r="H220" s="54"/>
      <c r="I220" s="54"/>
      <c r="J220" s="54"/>
      <c r="K220" s="65"/>
      <c r="L220" s="65"/>
      <c r="M220" s="54"/>
    </row>
    <row r="221" spans="1:13" ht="18.75">
      <c r="A221" s="55">
        <v>22</v>
      </c>
      <c r="B221" s="55"/>
      <c r="C221" s="55" t="s">
        <v>104</v>
      </c>
      <c r="D221" s="54"/>
      <c r="E221" s="54"/>
      <c r="F221" s="54"/>
      <c r="G221" s="54"/>
      <c r="H221" s="54"/>
      <c r="I221" s="54"/>
      <c r="J221" s="54"/>
      <c r="K221" s="54"/>
      <c r="L221" s="54"/>
      <c r="M221" s="54"/>
    </row>
    <row r="222" spans="1:13" ht="38.25" customHeight="1">
      <c r="A222" s="54"/>
      <c r="B222" s="54"/>
      <c r="C222" s="348" t="s">
        <v>291</v>
      </c>
      <c r="D222" s="348"/>
      <c r="E222" s="348"/>
      <c r="F222" s="348"/>
      <c r="G222" s="348"/>
      <c r="H222" s="348"/>
      <c r="I222" s="348"/>
      <c r="J222" s="348"/>
      <c r="K222" s="54"/>
      <c r="L222" s="54"/>
      <c r="M222" s="54"/>
    </row>
    <row r="223" spans="1:13" ht="15" customHeight="1">
      <c r="A223" s="54"/>
      <c r="B223" s="54"/>
      <c r="C223" s="54"/>
      <c r="D223" s="54"/>
      <c r="E223" s="54"/>
      <c r="F223" s="54"/>
      <c r="G223" s="54"/>
      <c r="H223" s="54"/>
      <c r="I223" s="54"/>
      <c r="J223" s="54"/>
      <c r="K223" s="65"/>
      <c r="L223" s="65"/>
      <c r="M223" s="54"/>
    </row>
    <row r="224" spans="1:13" ht="15.75" customHeight="1">
      <c r="A224" s="54"/>
      <c r="B224" s="54"/>
      <c r="C224" s="54"/>
      <c r="D224" s="54"/>
      <c r="E224" s="54"/>
      <c r="F224" s="54"/>
      <c r="G224" s="54"/>
      <c r="H224" s="54"/>
      <c r="I224" s="54"/>
      <c r="J224" s="54"/>
      <c r="K224" s="54"/>
      <c r="L224" s="54"/>
      <c r="M224" s="54"/>
    </row>
    <row r="225" spans="1:13" ht="18.75">
      <c r="A225" s="71">
        <v>23</v>
      </c>
      <c r="B225" s="54"/>
      <c r="C225" s="387" t="s">
        <v>45</v>
      </c>
      <c r="D225" s="387"/>
      <c r="E225" s="387"/>
      <c r="F225" s="387"/>
      <c r="G225" s="387"/>
      <c r="H225" s="387"/>
      <c r="I225" s="387"/>
      <c r="J225" s="387"/>
      <c r="K225" s="54"/>
      <c r="L225" s="54"/>
      <c r="M225" s="54"/>
    </row>
    <row r="226" spans="1:13" ht="15.75" customHeight="1">
      <c r="A226" s="71"/>
      <c r="B226" s="54"/>
      <c r="C226" s="64"/>
      <c r="D226" s="64"/>
      <c r="E226" s="64"/>
      <c r="F226" s="64"/>
      <c r="G226" s="64"/>
      <c r="H226" s="64"/>
      <c r="I226" s="64"/>
      <c r="J226" s="64"/>
      <c r="K226" s="54"/>
      <c r="L226" s="54"/>
      <c r="M226" s="54"/>
    </row>
    <row r="227" spans="1:13" ht="15.75" customHeight="1">
      <c r="A227" s="71"/>
      <c r="B227" s="54"/>
      <c r="C227" s="64"/>
      <c r="D227" s="64"/>
      <c r="E227" s="64"/>
      <c r="F227" s="64"/>
      <c r="G227" s="64"/>
      <c r="H227" s="64"/>
      <c r="I227" s="64"/>
      <c r="J227" s="64"/>
      <c r="K227" s="54"/>
      <c r="L227" s="54"/>
      <c r="M227" s="54"/>
    </row>
    <row r="228" spans="1:13" ht="18.75">
      <c r="A228" s="71"/>
      <c r="B228" s="54"/>
      <c r="C228" s="171"/>
      <c r="D228" s="356"/>
      <c r="E228" s="357"/>
      <c r="F228" s="172" t="s">
        <v>160</v>
      </c>
      <c r="G228" s="173"/>
      <c r="H228" s="173"/>
      <c r="I228" s="64"/>
      <c r="J228" s="64"/>
      <c r="K228" s="54"/>
      <c r="L228" s="54"/>
      <c r="M228" s="54"/>
    </row>
    <row r="229" spans="1:13" ht="23.25" customHeight="1">
      <c r="A229" s="71"/>
      <c r="B229" s="54"/>
      <c r="C229" s="174"/>
      <c r="D229" s="61" t="s">
        <v>292</v>
      </c>
      <c r="E229" s="61" t="s">
        <v>220</v>
      </c>
      <c r="F229" s="81" t="s">
        <v>162</v>
      </c>
      <c r="G229" s="173"/>
      <c r="H229" s="173"/>
      <c r="I229" s="64"/>
      <c r="J229" s="64"/>
      <c r="K229" s="54"/>
      <c r="L229" s="54"/>
      <c r="M229" s="54"/>
    </row>
    <row r="230" spans="1:13" ht="15.75" customHeight="1">
      <c r="A230" s="71"/>
      <c r="B230" s="54"/>
      <c r="C230" s="175"/>
      <c r="D230" s="176" t="s">
        <v>158</v>
      </c>
      <c r="E230" s="177" t="s">
        <v>158</v>
      </c>
      <c r="F230" s="178" t="s">
        <v>161</v>
      </c>
      <c r="G230" s="179"/>
      <c r="H230" s="179"/>
      <c r="I230" s="64"/>
      <c r="J230" s="64"/>
      <c r="K230" s="54"/>
      <c r="L230" s="54"/>
      <c r="M230" s="54"/>
    </row>
    <row r="231" spans="1:13" ht="25.5" customHeight="1" thickBot="1">
      <c r="A231" s="71"/>
      <c r="B231" s="54"/>
      <c r="C231" s="180" t="s">
        <v>159</v>
      </c>
      <c r="D231" s="181">
        <f>'[2]pl'!D24</f>
        <v>258293</v>
      </c>
      <c r="E231" s="182">
        <v>238180</v>
      </c>
      <c r="F231" s="183">
        <f>(D231-E231)/E231*100</f>
        <v>8.444453774456294</v>
      </c>
      <c r="G231" s="184"/>
      <c r="H231" s="184"/>
      <c r="I231" s="64"/>
      <c r="J231" s="64"/>
      <c r="K231" s="54"/>
      <c r="L231" s="54"/>
      <c r="M231" s="54"/>
    </row>
    <row r="232" spans="1:13" ht="27.75" customHeight="1" thickTop="1">
      <c r="A232" s="71"/>
      <c r="B232" s="54"/>
      <c r="C232" s="180" t="s">
        <v>170</v>
      </c>
      <c r="D232" s="237">
        <f>D234-D233</f>
        <v>20577</v>
      </c>
      <c r="E232" s="238">
        <v>19656</v>
      </c>
      <c r="F232" s="185">
        <f>(D232-E232)/E232*100</f>
        <v>4.685592185592186</v>
      </c>
      <c r="G232" s="184"/>
      <c r="H232" s="184"/>
      <c r="I232" s="64"/>
      <c r="J232" s="64"/>
      <c r="K232" s="54"/>
      <c r="L232" s="54"/>
      <c r="M232" s="54"/>
    </row>
    <row r="233" spans="1:15" ht="26.25" customHeight="1">
      <c r="A233" s="71"/>
      <c r="B233" s="54"/>
      <c r="C233" s="180" t="s">
        <v>169</v>
      </c>
      <c r="D233" s="237">
        <v>16135</v>
      </c>
      <c r="E233" s="237">
        <v>31536</v>
      </c>
      <c r="F233" s="185">
        <f>(D233-E233)/E233*100</f>
        <v>-48.836250634195835</v>
      </c>
      <c r="G233" s="184"/>
      <c r="H233" s="184"/>
      <c r="I233" s="64"/>
      <c r="J233" s="64"/>
      <c r="K233" s="54"/>
      <c r="L233" s="54"/>
      <c r="M233" s="54"/>
      <c r="O233" s="33">
        <f>H162</f>
        <v>16135</v>
      </c>
    </row>
    <row r="234" spans="1:13" ht="30.75" customHeight="1">
      <c r="A234" s="71"/>
      <c r="B234" s="54"/>
      <c r="C234" s="186" t="s">
        <v>72</v>
      </c>
      <c r="D234" s="239">
        <f>'[2]pl'!D34</f>
        <v>36712</v>
      </c>
      <c r="E234" s="239">
        <v>51192</v>
      </c>
      <c r="F234" s="188">
        <f>(D234-E234)/E234*100</f>
        <v>-28.285669635880605</v>
      </c>
      <c r="G234" s="184"/>
      <c r="H234" s="184"/>
      <c r="I234" s="64"/>
      <c r="J234" s="64"/>
      <c r="K234" s="54"/>
      <c r="L234" s="54"/>
      <c r="M234" s="54"/>
    </row>
    <row r="235" spans="1:13" ht="15.75" customHeight="1">
      <c r="A235" s="71"/>
      <c r="B235" s="54"/>
      <c r="C235" s="189"/>
      <c r="D235" s="190"/>
      <c r="E235" s="190"/>
      <c r="F235" s="184"/>
      <c r="G235" s="184"/>
      <c r="H235" s="184"/>
      <c r="I235" s="64"/>
      <c r="J235" s="64"/>
      <c r="K235" s="54"/>
      <c r="L235" s="54"/>
      <c r="M235" s="54"/>
    </row>
    <row r="236" spans="1:13" ht="41.25" customHeight="1">
      <c r="A236" s="71"/>
      <c r="B236" s="54"/>
      <c r="C236" s="348" t="s">
        <v>310</v>
      </c>
      <c r="D236" s="348"/>
      <c r="E236" s="348"/>
      <c r="F236" s="348"/>
      <c r="G236" s="348"/>
      <c r="H236" s="348"/>
      <c r="I236" s="348"/>
      <c r="J236" s="348"/>
      <c r="K236" s="54"/>
      <c r="L236" s="54"/>
      <c r="M236" s="54"/>
    </row>
    <row r="237" spans="1:13" ht="15.75" customHeight="1">
      <c r="A237" s="71"/>
      <c r="B237" s="54"/>
      <c r="C237" s="189"/>
      <c r="D237" s="190"/>
      <c r="E237" s="190"/>
      <c r="F237" s="184"/>
      <c r="G237" s="184"/>
      <c r="H237" s="184"/>
      <c r="I237" s="64"/>
      <c r="J237" s="64"/>
      <c r="K237" s="54"/>
      <c r="L237" s="54"/>
      <c r="M237" s="54"/>
    </row>
    <row r="238" spans="1:13" ht="14.25" customHeight="1">
      <c r="A238" s="191"/>
      <c r="B238" s="54"/>
      <c r="C238" s="69"/>
      <c r="D238" s="69"/>
      <c r="E238" s="69"/>
      <c r="F238" s="69"/>
      <c r="G238" s="69"/>
      <c r="H238" s="69"/>
      <c r="I238" s="69"/>
      <c r="J238" s="69"/>
      <c r="K238" s="65"/>
      <c r="L238" s="65"/>
      <c r="M238" s="54"/>
    </row>
    <row r="239" spans="1:13" ht="18" customHeight="1">
      <c r="A239" s="71">
        <v>24</v>
      </c>
      <c r="B239" s="54"/>
      <c r="C239" s="387" t="s">
        <v>31</v>
      </c>
      <c r="D239" s="387"/>
      <c r="E239" s="387"/>
      <c r="F239" s="387"/>
      <c r="G239" s="387"/>
      <c r="H239" s="387"/>
      <c r="I239" s="387"/>
      <c r="J239" s="387"/>
      <c r="K239" s="65"/>
      <c r="L239" s="65"/>
      <c r="M239" s="54"/>
    </row>
    <row r="240" spans="1:13" ht="15" customHeight="1">
      <c r="A240" s="71"/>
      <c r="B240" s="54"/>
      <c r="C240" s="64"/>
      <c r="D240" s="64"/>
      <c r="E240" s="64"/>
      <c r="F240" s="64"/>
      <c r="G240" s="64"/>
      <c r="H240" s="64"/>
      <c r="I240" s="64"/>
      <c r="J240" s="64"/>
      <c r="K240" s="65"/>
      <c r="L240" s="65"/>
      <c r="M240" s="54"/>
    </row>
    <row r="241" spans="1:13" ht="18.75" customHeight="1">
      <c r="A241" s="71"/>
      <c r="B241" s="54"/>
      <c r="C241" s="171"/>
      <c r="D241" s="356" t="s">
        <v>293</v>
      </c>
      <c r="E241" s="357"/>
      <c r="F241" s="172" t="s">
        <v>160</v>
      </c>
      <c r="G241" s="173"/>
      <c r="H241" s="173"/>
      <c r="I241" s="64"/>
      <c r="J241" s="64"/>
      <c r="K241" s="65"/>
      <c r="L241" s="65"/>
      <c r="M241" s="54"/>
    </row>
    <row r="242" spans="1:13" ht="18.75" customHeight="1">
      <c r="A242" s="71"/>
      <c r="B242" s="54"/>
      <c r="C242" s="174"/>
      <c r="D242" s="61">
        <v>2006</v>
      </c>
      <c r="E242" s="60">
        <v>2005</v>
      </c>
      <c r="F242" s="81" t="s">
        <v>166</v>
      </c>
      <c r="G242" s="173"/>
      <c r="H242" s="173"/>
      <c r="I242" s="64"/>
      <c r="J242" s="64"/>
      <c r="K242" s="65"/>
      <c r="L242" s="65"/>
      <c r="M242" s="54"/>
    </row>
    <row r="243" spans="1:13" ht="15.75" customHeight="1">
      <c r="A243" s="71"/>
      <c r="B243" s="54"/>
      <c r="C243" s="175"/>
      <c r="D243" s="176" t="s">
        <v>158</v>
      </c>
      <c r="E243" s="177" t="s">
        <v>158</v>
      </c>
      <c r="F243" s="178" t="s">
        <v>161</v>
      </c>
      <c r="G243" s="179"/>
      <c r="H243" s="179"/>
      <c r="I243" s="64"/>
      <c r="J243" s="64"/>
      <c r="K243" s="65"/>
      <c r="L243" s="65"/>
      <c r="M243" s="54"/>
    </row>
    <row r="244" spans="1:13" ht="28.5" customHeight="1" thickBot="1">
      <c r="A244" s="71"/>
      <c r="B244" s="54"/>
      <c r="C244" s="180" t="s">
        <v>159</v>
      </c>
      <c r="D244" s="181">
        <f>'[2]pl'!F24</f>
        <v>496473</v>
      </c>
      <c r="E244" s="182">
        <f>'[2]pl'!G24</f>
        <v>412137</v>
      </c>
      <c r="F244" s="192">
        <f>(D244-E244)/E244*100</f>
        <v>20.46309843571434</v>
      </c>
      <c r="G244" s="184"/>
      <c r="H244" s="184"/>
      <c r="I244" s="64"/>
      <c r="J244" s="64"/>
      <c r="K244" s="65"/>
      <c r="L244" s="65"/>
      <c r="M244" s="54"/>
    </row>
    <row r="245" spans="1:13" ht="30" customHeight="1" thickTop="1">
      <c r="A245" s="71"/>
      <c r="B245" s="54"/>
      <c r="C245" s="180" t="s">
        <v>170</v>
      </c>
      <c r="D245" s="62">
        <f>D247-D246</f>
        <v>40233</v>
      </c>
      <c r="E245" s="62">
        <f>E247-E246</f>
        <v>27729</v>
      </c>
      <c r="F245" s="185">
        <f>(D245-E245)/E245*100</f>
        <v>45.093584334090664</v>
      </c>
      <c r="G245" s="184"/>
      <c r="H245" s="184"/>
      <c r="I245" s="64"/>
      <c r="J245" s="64"/>
      <c r="K245" s="65"/>
      <c r="L245" s="65"/>
      <c r="M245" s="54"/>
    </row>
    <row r="246" spans="1:15" ht="30" customHeight="1">
      <c r="A246" s="71"/>
      <c r="B246" s="54"/>
      <c r="C246" s="180" t="s">
        <v>169</v>
      </c>
      <c r="D246" s="62">
        <v>47671</v>
      </c>
      <c r="E246" s="62">
        <v>17</v>
      </c>
      <c r="F246" s="185" t="s">
        <v>294</v>
      </c>
      <c r="G246" s="184"/>
      <c r="H246" s="184"/>
      <c r="I246" s="64"/>
      <c r="J246" s="64"/>
      <c r="K246" s="65"/>
      <c r="L246" s="65"/>
      <c r="M246" s="54"/>
      <c r="O246" s="33">
        <f>I162</f>
        <v>47671</v>
      </c>
    </row>
    <row r="247" spans="1:13" ht="30.75" customHeight="1">
      <c r="A247" s="71"/>
      <c r="B247" s="54"/>
      <c r="C247" s="186" t="s">
        <v>72</v>
      </c>
      <c r="D247" s="187">
        <f>'[2]pl'!F34</f>
        <v>87904</v>
      </c>
      <c r="E247" s="187">
        <f>'[2]pl'!G34</f>
        <v>27746</v>
      </c>
      <c r="F247" s="188" t="s">
        <v>294</v>
      </c>
      <c r="G247" s="184"/>
      <c r="H247" s="184"/>
      <c r="I247" s="64"/>
      <c r="J247" s="64"/>
      <c r="K247" s="65"/>
      <c r="L247" s="65"/>
      <c r="M247" s="54"/>
    </row>
    <row r="248" spans="1:13" ht="13.5" customHeight="1">
      <c r="A248" s="71"/>
      <c r="B248" s="54"/>
      <c r="C248" s="189"/>
      <c r="D248" s="190"/>
      <c r="E248" s="190"/>
      <c r="F248" s="184"/>
      <c r="G248" s="184"/>
      <c r="H248" s="184"/>
      <c r="I248" s="64"/>
      <c r="J248" s="64"/>
      <c r="K248" s="65"/>
      <c r="L248" s="65"/>
      <c r="M248" s="54"/>
    </row>
    <row r="249" spans="1:13" ht="60.75" customHeight="1">
      <c r="A249" s="191"/>
      <c r="B249" s="54"/>
      <c r="C249" s="348" t="s">
        <v>295</v>
      </c>
      <c r="D249" s="348"/>
      <c r="E249" s="348"/>
      <c r="F249" s="348"/>
      <c r="G249" s="348"/>
      <c r="H249" s="348"/>
      <c r="I249" s="348"/>
      <c r="J249" s="348"/>
      <c r="K249" s="64"/>
      <c r="L249" s="64"/>
      <c r="M249" s="73"/>
    </row>
    <row r="250" spans="1:13" ht="15" customHeight="1">
      <c r="A250" s="191"/>
      <c r="B250" s="54"/>
      <c r="C250" s="65"/>
      <c r="D250" s="65"/>
      <c r="E250" s="65"/>
      <c r="F250" s="65"/>
      <c r="G250" s="65"/>
      <c r="H250" s="65"/>
      <c r="I250" s="65"/>
      <c r="J250" s="65"/>
      <c r="K250" s="65"/>
      <c r="L250" s="65"/>
      <c r="M250" s="54"/>
    </row>
    <row r="251" spans="1:13" ht="18.75">
      <c r="A251" s="71">
        <v>25</v>
      </c>
      <c r="B251" s="54"/>
      <c r="C251" s="387" t="s">
        <v>65</v>
      </c>
      <c r="D251" s="387"/>
      <c r="E251" s="387"/>
      <c r="F251" s="387"/>
      <c r="G251" s="387"/>
      <c r="H251" s="387"/>
      <c r="I251" s="387"/>
      <c r="J251" s="387"/>
      <c r="K251" s="65"/>
      <c r="L251" s="65"/>
      <c r="M251" s="54"/>
    </row>
    <row r="252" spans="1:13" ht="22.5" customHeight="1">
      <c r="A252" s="54"/>
      <c r="B252" s="54"/>
      <c r="C252" s="348" t="s">
        <v>311</v>
      </c>
      <c r="D252" s="348"/>
      <c r="E252" s="348"/>
      <c r="F252" s="348"/>
      <c r="G252" s="348"/>
      <c r="H252" s="348"/>
      <c r="I252" s="348"/>
      <c r="J252" s="348"/>
      <c r="K252" s="65"/>
      <c r="L252" s="65"/>
      <c r="M252" s="54"/>
    </row>
    <row r="253" spans="1:13" ht="27" customHeight="1" hidden="1">
      <c r="A253" s="191"/>
      <c r="B253" s="54"/>
      <c r="C253" s="54"/>
      <c r="D253" s="54"/>
      <c r="E253" s="54"/>
      <c r="F253" s="54"/>
      <c r="G253" s="54"/>
      <c r="H253" s="54"/>
      <c r="I253" s="54"/>
      <c r="J253" s="54"/>
      <c r="K253" s="65"/>
      <c r="L253" s="65"/>
      <c r="M253" s="54"/>
    </row>
    <row r="254" spans="1:13" ht="15" customHeight="1" hidden="1">
      <c r="A254" s="191"/>
      <c r="B254" s="54"/>
      <c r="C254" s="65"/>
      <c r="D254" s="65"/>
      <c r="E254" s="65"/>
      <c r="F254" s="65"/>
      <c r="G254" s="65"/>
      <c r="H254" s="65"/>
      <c r="I254" s="65"/>
      <c r="J254" s="65"/>
      <c r="K254" s="65"/>
      <c r="L254" s="65"/>
      <c r="M254" s="54"/>
    </row>
    <row r="255" spans="1:13" ht="15" customHeight="1" hidden="1">
      <c r="A255" s="54"/>
      <c r="B255" s="54"/>
      <c r="C255" s="54"/>
      <c r="D255" s="54"/>
      <c r="E255" s="54"/>
      <c r="F255" s="54"/>
      <c r="G255" s="54"/>
      <c r="H255" s="54"/>
      <c r="I255" s="54"/>
      <c r="J255" s="54"/>
      <c r="K255" s="65"/>
      <c r="L255" s="65"/>
      <c r="M255" s="54"/>
    </row>
    <row r="256" spans="1:13" ht="38.25" customHeight="1" hidden="1">
      <c r="A256" s="54"/>
      <c r="B256" s="54"/>
      <c r="C256" s="54"/>
      <c r="D256" s="54"/>
      <c r="E256" s="54"/>
      <c r="F256" s="54"/>
      <c r="G256" s="54"/>
      <c r="H256" s="54"/>
      <c r="I256" s="54"/>
      <c r="J256" s="54"/>
      <c r="K256" s="65"/>
      <c r="L256" s="65"/>
      <c r="M256" s="54"/>
    </row>
    <row r="257" spans="1:13" ht="16.5" customHeight="1" hidden="1">
      <c r="A257" s="191"/>
      <c r="B257" s="54"/>
      <c r="C257" s="350"/>
      <c r="D257" s="350"/>
      <c r="E257" s="350"/>
      <c r="F257" s="350"/>
      <c r="G257" s="350"/>
      <c r="H257" s="350"/>
      <c r="I257" s="350"/>
      <c r="J257" s="350"/>
      <c r="K257" s="65"/>
      <c r="L257" s="65"/>
      <c r="M257" s="54"/>
    </row>
    <row r="258" spans="1:13" ht="16.5" customHeight="1">
      <c r="A258" s="191"/>
      <c r="B258" s="54"/>
      <c r="C258" s="65"/>
      <c r="D258" s="65"/>
      <c r="E258" s="65"/>
      <c r="F258" s="65"/>
      <c r="G258" s="65"/>
      <c r="H258" s="65"/>
      <c r="I258" s="65"/>
      <c r="J258" s="65"/>
      <c r="K258" s="65"/>
      <c r="L258" s="65"/>
      <c r="M258" s="54"/>
    </row>
    <row r="259" spans="1:13" ht="16.5" customHeight="1">
      <c r="A259" s="108"/>
      <c r="B259" s="108"/>
      <c r="C259" s="108"/>
      <c r="D259" s="108"/>
      <c r="E259" s="108"/>
      <c r="F259" s="108"/>
      <c r="G259" s="108"/>
      <c r="H259" s="108"/>
      <c r="I259" s="108"/>
      <c r="J259" s="108"/>
      <c r="K259" s="65"/>
      <c r="L259" s="65"/>
      <c r="M259" s="54"/>
    </row>
    <row r="260" spans="1:13" ht="18.75" customHeight="1">
      <c r="A260" s="71">
        <v>26</v>
      </c>
      <c r="B260" s="54"/>
      <c r="C260" s="387" t="s">
        <v>32</v>
      </c>
      <c r="D260" s="387"/>
      <c r="E260" s="387"/>
      <c r="F260" s="387"/>
      <c r="G260" s="387"/>
      <c r="H260" s="387"/>
      <c r="I260" s="387"/>
      <c r="J260" s="387"/>
      <c r="K260" s="65"/>
      <c r="L260" s="65"/>
      <c r="M260" s="54"/>
    </row>
    <row r="261" spans="1:13" ht="16.5" customHeight="1">
      <c r="A261" s="191"/>
      <c r="B261" s="54"/>
      <c r="C261" s="358" t="s">
        <v>33</v>
      </c>
      <c r="D261" s="358"/>
      <c r="E261" s="358"/>
      <c r="F261" s="358"/>
      <c r="G261" s="358"/>
      <c r="H261" s="358"/>
      <c r="I261" s="358"/>
      <c r="J261" s="358"/>
      <c r="K261" s="65"/>
      <c r="L261" s="65"/>
      <c r="M261" s="54"/>
    </row>
    <row r="262" spans="1:13" ht="16.5" customHeight="1">
      <c r="A262" s="191"/>
      <c r="B262" s="54"/>
      <c r="C262" s="69"/>
      <c r="D262" s="69"/>
      <c r="E262" s="69"/>
      <c r="F262" s="69"/>
      <c r="G262" s="69"/>
      <c r="H262" s="69"/>
      <c r="I262" s="69"/>
      <c r="J262" s="69"/>
      <c r="K262" s="65"/>
      <c r="L262" s="65"/>
      <c r="M262" s="54"/>
    </row>
    <row r="263" spans="1:13" ht="16.5" customHeight="1">
      <c r="A263" s="108"/>
      <c r="B263" s="108"/>
      <c r="C263" s="108"/>
      <c r="D263" s="108"/>
      <c r="E263" s="108"/>
      <c r="F263" s="108"/>
      <c r="G263" s="108"/>
      <c r="H263" s="108"/>
      <c r="I263" s="108"/>
      <c r="J263" s="108"/>
      <c r="K263" s="65"/>
      <c r="L263" s="65"/>
      <c r="M263" s="54"/>
    </row>
    <row r="264" spans="1:13" ht="16.5" customHeight="1">
      <c r="A264" s="108"/>
      <c r="B264" s="108"/>
      <c r="C264" s="108"/>
      <c r="D264" s="108"/>
      <c r="E264" s="108"/>
      <c r="F264" s="108"/>
      <c r="G264" s="108"/>
      <c r="H264" s="108"/>
      <c r="I264" s="108"/>
      <c r="J264" s="108"/>
      <c r="K264" s="65"/>
      <c r="L264" s="65"/>
      <c r="M264" s="54"/>
    </row>
    <row r="265" spans="1:13" ht="16.5" customHeight="1">
      <c r="A265" s="352" t="s">
        <v>146</v>
      </c>
      <c r="B265" s="352"/>
      <c r="C265" s="352"/>
      <c r="D265" s="352"/>
      <c r="E265" s="352"/>
      <c r="F265" s="352"/>
      <c r="G265" s="352"/>
      <c r="H265" s="352"/>
      <c r="I265" s="352"/>
      <c r="J265" s="352"/>
      <c r="K265" s="65"/>
      <c r="L265" s="65"/>
      <c r="M265" s="54"/>
    </row>
    <row r="266" spans="1:13" ht="16.5" customHeight="1">
      <c r="A266" s="191"/>
      <c r="B266" s="54"/>
      <c r="C266" s="65"/>
      <c r="D266" s="65"/>
      <c r="E266" s="65"/>
      <c r="F266" s="65"/>
      <c r="G266" s="65"/>
      <c r="H266" s="65"/>
      <c r="I266" s="65"/>
      <c r="J266" s="65"/>
      <c r="K266" s="65"/>
      <c r="L266" s="65"/>
      <c r="M266" s="54"/>
    </row>
    <row r="267" spans="1:13" s="29" customFormat="1" ht="12.75" customHeight="1">
      <c r="A267" s="54"/>
      <c r="B267" s="54"/>
      <c r="C267" s="54"/>
      <c r="D267" s="54"/>
      <c r="E267" s="54"/>
      <c r="F267" s="54"/>
      <c r="G267" s="54"/>
      <c r="H267" s="54"/>
      <c r="I267" s="54"/>
      <c r="J267" s="54"/>
      <c r="K267" s="65"/>
      <c r="L267" s="65"/>
      <c r="M267" s="193"/>
    </row>
    <row r="268" spans="1:13" ht="21.75" customHeight="1">
      <c r="A268" s="71">
        <v>27</v>
      </c>
      <c r="B268" s="54"/>
      <c r="C268" s="387" t="s">
        <v>105</v>
      </c>
      <c r="D268" s="387"/>
      <c r="E268" s="387"/>
      <c r="F268" s="387"/>
      <c r="G268" s="387"/>
      <c r="H268" s="387"/>
      <c r="I268" s="387"/>
      <c r="J268" s="387"/>
      <c r="K268" s="65"/>
      <c r="L268" s="65"/>
      <c r="M268" s="54"/>
    </row>
    <row r="269" spans="1:13" ht="15" customHeight="1">
      <c r="A269" s="191"/>
      <c r="B269" s="54"/>
      <c r="C269" s="350"/>
      <c r="D269" s="350"/>
      <c r="E269" s="350"/>
      <c r="F269" s="350"/>
      <c r="G269" s="350"/>
      <c r="H269" s="350"/>
      <c r="I269" s="350"/>
      <c r="J269" s="350"/>
      <c r="K269" s="65"/>
      <c r="L269" s="65"/>
      <c r="M269" s="54"/>
    </row>
    <row r="270" spans="1:13" ht="24.75" customHeight="1">
      <c r="A270" s="191"/>
      <c r="B270" s="54"/>
      <c r="C270" s="354"/>
      <c r="D270" s="354"/>
      <c r="E270" s="354"/>
      <c r="F270" s="354"/>
      <c r="G270" s="130"/>
      <c r="H270" s="53" t="s">
        <v>283</v>
      </c>
      <c r="I270" s="121" t="s">
        <v>59</v>
      </c>
      <c r="K270" s="65"/>
      <c r="L270" s="65"/>
      <c r="M270" s="54"/>
    </row>
    <row r="271" spans="1:13" ht="15" customHeight="1">
      <c r="A271" s="191"/>
      <c r="B271" s="54"/>
      <c r="C271" s="350"/>
      <c r="D271" s="350"/>
      <c r="E271" s="350"/>
      <c r="F271" s="350"/>
      <c r="G271" s="65"/>
      <c r="H271" s="57"/>
      <c r="I271" s="53">
        <v>2006</v>
      </c>
      <c r="K271" s="65"/>
      <c r="L271" s="65"/>
      <c r="M271" s="54"/>
    </row>
    <row r="272" spans="1:13" ht="15" customHeight="1">
      <c r="A272" s="191"/>
      <c r="B272" s="54"/>
      <c r="C272" s="350"/>
      <c r="D272" s="350"/>
      <c r="E272" s="350"/>
      <c r="F272" s="350"/>
      <c r="G272" s="65"/>
      <c r="H272" s="65"/>
      <c r="I272" s="65"/>
      <c r="K272" s="65"/>
      <c r="L272" s="65"/>
      <c r="M272" s="54"/>
    </row>
    <row r="273" spans="1:13" ht="21.75" customHeight="1">
      <c r="A273" s="191"/>
      <c r="B273" s="53" t="s">
        <v>14</v>
      </c>
      <c r="C273" s="387" t="s">
        <v>106</v>
      </c>
      <c r="D273" s="387"/>
      <c r="E273" s="387"/>
      <c r="F273" s="387"/>
      <c r="G273" s="65"/>
      <c r="H273" s="65"/>
      <c r="I273" s="65"/>
      <c r="K273" s="65"/>
      <c r="L273" s="65"/>
      <c r="M273" s="54"/>
    </row>
    <row r="274" spans="1:13" ht="15" customHeight="1">
      <c r="A274" s="191"/>
      <c r="B274" s="54"/>
      <c r="C274" s="350"/>
      <c r="D274" s="350"/>
      <c r="E274" s="350"/>
      <c r="F274" s="350"/>
      <c r="G274" s="65"/>
      <c r="H274" s="65"/>
      <c r="I274" s="65"/>
      <c r="K274" s="65"/>
      <c r="L274" s="65"/>
      <c r="M274" s="54"/>
    </row>
    <row r="275" spans="1:13" ht="18.75">
      <c r="A275" s="191"/>
      <c r="B275" s="54"/>
      <c r="C275" s="350" t="s">
        <v>107</v>
      </c>
      <c r="D275" s="350"/>
      <c r="E275" s="350"/>
      <c r="F275" s="350"/>
      <c r="G275" s="65"/>
      <c r="H275" s="134">
        <f>'[2]pl'!D48</f>
        <v>24854</v>
      </c>
      <c r="I275" s="134">
        <f>'[2]pl'!F48</f>
        <v>64839</v>
      </c>
      <c r="K275" s="65"/>
      <c r="L275" s="65"/>
      <c r="M275" s="54"/>
    </row>
    <row r="276" spans="1:13" ht="15" customHeight="1">
      <c r="A276" s="191"/>
      <c r="B276" s="54"/>
      <c r="C276" s="350"/>
      <c r="D276" s="350"/>
      <c r="E276" s="350"/>
      <c r="F276" s="350"/>
      <c r="G276" s="65"/>
      <c r="H276" s="242"/>
      <c r="I276" s="242"/>
      <c r="K276" s="65"/>
      <c r="L276" s="65"/>
      <c r="M276" s="54"/>
    </row>
    <row r="277" spans="1:13" ht="18.75">
      <c r="A277" s="191"/>
      <c r="B277" s="54"/>
      <c r="C277" s="350" t="s">
        <v>108</v>
      </c>
      <c r="D277" s="350"/>
      <c r="E277" s="350"/>
      <c r="F277" s="350"/>
      <c r="G277" s="65"/>
      <c r="H277" s="332">
        <f>383520-2998</f>
        <v>380522</v>
      </c>
      <c r="I277" s="129">
        <f>H277</f>
        <v>380522</v>
      </c>
      <c r="K277" s="65"/>
      <c r="L277" s="65"/>
      <c r="M277" s="54"/>
    </row>
    <row r="278" spans="1:13" ht="18.75">
      <c r="A278" s="191"/>
      <c r="B278" s="54"/>
      <c r="C278" s="350" t="s">
        <v>157</v>
      </c>
      <c r="D278" s="350"/>
      <c r="E278" s="350"/>
      <c r="F278" s="350"/>
      <c r="G278" s="65"/>
      <c r="H278" s="134">
        <f>H280-H277</f>
        <v>2836</v>
      </c>
      <c r="I278" s="134">
        <f>H278</f>
        <v>2836</v>
      </c>
      <c r="K278" s="65"/>
      <c r="L278" s="65"/>
      <c r="M278" s="54"/>
    </row>
    <row r="279" spans="1:13" ht="15" customHeight="1">
      <c r="A279" s="191"/>
      <c r="B279" s="54"/>
      <c r="C279" s="350"/>
      <c r="D279" s="350"/>
      <c r="E279" s="350"/>
      <c r="F279" s="350"/>
      <c r="G279" s="65"/>
      <c r="H279" s="240"/>
      <c r="I279" s="240"/>
      <c r="K279" s="65"/>
      <c r="L279" s="65"/>
      <c r="M279" s="54"/>
    </row>
    <row r="280" spans="1:13" ht="28.5" customHeight="1">
      <c r="A280" s="191"/>
      <c r="B280" s="54"/>
      <c r="C280" s="350" t="s">
        <v>109</v>
      </c>
      <c r="D280" s="350"/>
      <c r="E280" s="350"/>
      <c r="F280" s="350"/>
      <c r="G280" s="65"/>
      <c r="H280" s="241">
        <v>383358</v>
      </c>
      <c r="I280" s="243">
        <f>H280</f>
        <v>383358</v>
      </c>
      <c r="K280" s="65"/>
      <c r="L280" s="65"/>
      <c r="M280" s="54"/>
    </row>
    <row r="281" spans="1:13" ht="14.25" customHeight="1" hidden="1">
      <c r="A281" s="191"/>
      <c r="B281" s="54"/>
      <c r="C281" s="350"/>
      <c r="D281" s="350"/>
      <c r="E281" s="350"/>
      <c r="F281" s="350"/>
      <c r="G281" s="65"/>
      <c r="H281" s="244"/>
      <c r="I281" s="240"/>
      <c r="K281" s="65"/>
      <c r="L281" s="65"/>
      <c r="M281" s="54"/>
    </row>
    <row r="282" spans="1:13" ht="6" customHeight="1">
      <c r="A282" s="191"/>
      <c r="B282" s="54"/>
      <c r="C282" s="350"/>
      <c r="D282" s="350"/>
      <c r="E282" s="350"/>
      <c r="F282" s="350"/>
      <c r="G282" s="65"/>
      <c r="H282" s="144"/>
      <c r="I282" s="144"/>
      <c r="K282" s="65"/>
      <c r="L282" s="65"/>
      <c r="M282" s="54"/>
    </row>
    <row r="283" spans="1:13" ht="18.75">
      <c r="A283" s="191"/>
      <c r="B283" s="54"/>
      <c r="C283" s="350" t="s">
        <v>73</v>
      </c>
      <c r="D283" s="350"/>
      <c r="E283" s="350"/>
      <c r="F283" s="350"/>
      <c r="G283" s="65"/>
      <c r="H283" s="247">
        <f>H275/H280*100</f>
        <v>6.4832349918353085</v>
      </c>
      <c r="I283" s="247">
        <f>I275/I280*100</f>
        <v>16.913433396459705</v>
      </c>
      <c r="K283" s="65"/>
      <c r="L283" s="65"/>
      <c r="M283" s="54"/>
    </row>
    <row r="284" spans="1:13" ht="15" customHeight="1" thickBot="1">
      <c r="A284" s="191"/>
      <c r="B284" s="54"/>
      <c r="C284" s="350"/>
      <c r="D284" s="350"/>
      <c r="E284" s="350"/>
      <c r="F284" s="350"/>
      <c r="G284" s="65"/>
      <c r="H284" s="246"/>
      <c r="I284" s="246"/>
      <c r="K284" s="65"/>
      <c r="L284" s="65"/>
      <c r="M284" s="54"/>
    </row>
    <row r="285" spans="1:13" ht="12.75" customHeight="1" thickTop="1">
      <c r="A285" s="191"/>
      <c r="B285" s="54"/>
      <c r="C285" s="65"/>
      <c r="D285" s="65"/>
      <c r="E285" s="65"/>
      <c r="F285" s="65"/>
      <c r="G285" s="65"/>
      <c r="H285" s="65"/>
      <c r="I285" s="98"/>
      <c r="J285" s="98"/>
      <c r="K285" s="65"/>
      <c r="L285" s="65"/>
      <c r="M285" s="54"/>
    </row>
    <row r="286" spans="1:13" ht="24.75" customHeight="1">
      <c r="A286" s="191"/>
      <c r="B286" s="53" t="s">
        <v>16</v>
      </c>
      <c r="C286" s="387" t="s">
        <v>110</v>
      </c>
      <c r="D286" s="387"/>
      <c r="E286" s="387"/>
      <c r="F286" s="387"/>
      <c r="G286" s="65"/>
      <c r="H286" s="65"/>
      <c r="I286" s="98"/>
      <c r="J286" s="98"/>
      <c r="K286" s="65"/>
      <c r="L286" s="65"/>
      <c r="M286" s="54"/>
    </row>
    <row r="287" spans="1:13" ht="15" customHeight="1">
      <c r="A287" s="352"/>
      <c r="B287" s="352"/>
      <c r="C287" s="352"/>
      <c r="D287" s="352"/>
      <c r="E287" s="352"/>
      <c r="F287" s="352"/>
      <c r="G287" s="352"/>
      <c r="H287" s="352"/>
      <c r="I287" s="352"/>
      <c r="J287" s="352"/>
      <c r="K287" s="65"/>
      <c r="L287" s="65"/>
      <c r="M287" s="54"/>
    </row>
    <row r="288" spans="1:13" ht="18.75">
      <c r="A288" s="191"/>
      <c r="B288" s="54"/>
      <c r="C288" s="350" t="s">
        <v>107</v>
      </c>
      <c r="D288" s="350"/>
      <c r="E288" s="350"/>
      <c r="F288" s="350"/>
      <c r="G288" s="65"/>
      <c r="H288" s="144">
        <f>H275</f>
        <v>24854</v>
      </c>
      <c r="I288" s="144">
        <f>I275</f>
        <v>64839</v>
      </c>
      <c r="K288" s="65"/>
      <c r="L288" s="65"/>
      <c r="M288" s="54"/>
    </row>
    <row r="289" spans="1:13" ht="18.75">
      <c r="A289" s="191"/>
      <c r="B289" s="54"/>
      <c r="C289" s="350" t="s">
        <v>112</v>
      </c>
      <c r="D289" s="350"/>
      <c r="E289" s="350"/>
      <c r="F289" s="350"/>
      <c r="G289" s="65"/>
      <c r="H289" s="245">
        <v>847</v>
      </c>
      <c r="I289" s="245">
        <f>H289+1974</f>
        <v>2821</v>
      </c>
      <c r="K289" s="65"/>
      <c r="L289" s="65"/>
      <c r="M289" s="54"/>
    </row>
    <row r="290" spans="1:13" ht="15" customHeight="1">
      <c r="A290" s="191"/>
      <c r="B290" s="54"/>
      <c r="C290" s="350"/>
      <c r="D290" s="350"/>
      <c r="E290" s="350"/>
      <c r="F290" s="350"/>
      <c r="G290" s="65"/>
      <c r="H290" s="240"/>
      <c r="I290" s="240"/>
      <c r="K290" s="65"/>
      <c r="L290" s="65"/>
      <c r="M290" s="54"/>
    </row>
    <row r="291" spans="1:13" ht="19.5" customHeight="1">
      <c r="A291" s="191"/>
      <c r="B291" s="54"/>
      <c r="C291" s="350" t="s">
        <v>111</v>
      </c>
      <c r="D291" s="350"/>
      <c r="E291" s="350"/>
      <c r="F291" s="350"/>
      <c r="G291" s="65"/>
      <c r="H291" s="243">
        <f>SUM(H288:H290)</f>
        <v>25701</v>
      </c>
      <c r="I291" s="243">
        <f>SUM(I288:I290)</f>
        <v>67660</v>
      </c>
      <c r="K291" s="65"/>
      <c r="L291" s="65"/>
      <c r="M291" s="54"/>
    </row>
    <row r="292" spans="1:13" ht="0.75" customHeight="1">
      <c r="A292" s="191"/>
      <c r="B292" s="54"/>
      <c r="C292" s="350"/>
      <c r="D292" s="350"/>
      <c r="E292" s="350"/>
      <c r="F292" s="350"/>
      <c r="G292" s="65"/>
      <c r="H292" s="240"/>
      <c r="I292" s="240"/>
      <c r="K292" s="65"/>
      <c r="L292" s="65"/>
      <c r="M292" s="54"/>
    </row>
    <row r="293" spans="1:13" ht="18.75">
      <c r="A293" s="191"/>
      <c r="B293" s="54"/>
      <c r="C293" s="350" t="s">
        <v>113</v>
      </c>
      <c r="D293" s="350"/>
      <c r="E293" s="350"/>
      <c r="F293" s="350"/>
      <c r="G293" s="65"/>
      <c r="H293" s="144">
        <f>H280</f>
        <v>383358</v>
      </c>
      <c r="I293" s="245">
        <f>H293</f>
        <v>383358</v>
      </c>
      <c r="K293" s="65"/>
      <c r="L293" s="65"/>
      <c r="M293" s="54"/>
    </row>
    <row r="294" spans="1:13" ht="18.75">
      <c r="A294" s="191"/>
      <c r="B294" s="54"/>
      <c r="C294" s="350" t="s">
        <v>130</v>
      </c>
      <c r="D294" s="350"/>
      <c r="E294" s="350"/>
      <c r="F294" s="350"/>
      <c r="G294" s="65"/>
      <c r="H294" s="144">
        <v>67246</v>
      </c>
      <c r="I294" s="245">
        <f>H294</f>
        <v>67246</v>
      </c>
      <c r="K294" s="65"/>
      <c r="L294" s="65"/>
      <c r="M294" s="54"/>
    </row>
    <row r="295" spans="1:13" ht="18.75">
      <c r="A295" s="191"/>
      <c r="B295" s="54"/>
      <c r="C295" s="54" t="s">
        <v>131</v>
      </c>
      <c r="D295" s="54"/>
      <c r="E295" s="54"/>
      <c r="F295" s="54"/>
      <c r="G295" s="54"/>
      <c r="H295" s="244">
        <v>1992</v>
      </c>
      <c r="I295" s="240">
        <f>H295</f>
        <v>1992</v>
      </c>
      <c r="K295" s="65"/>
      <c r="L295" s="65"/>
      <c r="M295" s="54"/>
    </row>
    <row r="296" spans="1:13" ht="21.75" customHeight="1">
      <c r="A296" s="191"/>
      <c r="B296" s="54"/>
      <c r="C296" s="350" t="s">
        <v>114</v>
      </c>
      <c r="D296" s="350"/>
      <c r="E296" s="350"/>
      <c r="F296" s="350"/>
      <c r="G296" s="65"/>
      <c r="H296" s="144">
        <f>SUM(H293:H295)</f>
        <v>452596</v>
      </c>
      <c r="I296" s="144">
        <f>SUM(I293:I295)</f>
        <v>452596</v>
      </c>
      <c r="K296" s="65"/>
      <c r="L296" s="65"/>
      <c r="M296" s="54"/>
    </row>
    <row r="297" spans="1:13" ht="15" customHeight="1">
      <c r="A297" s="191"/>
      <c r="B297" s="54"/>
      <c r="C297" s="350"/>
      <c r="D297" s="350"/>
      <c r="E297" s="350"/>
      <c r="F297" s="350"/>
      <c r="G297" s="65"/>
      <c r="H297" s="240"/>
      <c r="I297" s="240"/>
      <c r="K297" s="65"/>
      <c r="L297" s="65"/>
      <c r="M297" s="54"/>
    </row>
    <row r="298" spans="1:13" ht="4.5" customHeight="1">
      <c r="A298" s="191"/>
      <c r="B298" s="54"/>
      <c r="C298" s="350"/>
      <c r="D298" s="350"/>
      <c r="E298" s="350"/>
      <c r="F298" s="350"/>
      <c r="G298" s="65"/>
      <c r="H298" s="144"/>
      <c r="I298" s="144"/>
      <c r="K298" s="65"/>
      <c r="L298" s="65"/>
      <c r="M298" s="54"/>
    </row>
    <row r="299" spans="1:13" ht="18.75">
      <c r="A299" s="191"/>
      <c r="B299" s="54"/>
      <c r="C299" s="350" t="s">
        <v>74</v>
      </c>
      <c r="D299" s="350"/>
      <c r="E299" s="350"/>
      <c r="F299" s="350"/>
      <c r="G299" s="65"/>
      <c r="H299" s="248">
        <f>H291*100/H296</f>
        <v>5.678574269326287</v>
      </c>
      <c r="I299" s="248">
        <f>I291*100/I296</f>
        <v>14.949314620544591</v>
      </c>
      <c r="K299" s="65"/>
      <c r="L299" s="65"/>
      <c r="M299" s="54"/>
    </row>
    <row r="300" spans="1:13" ht="15" customHeight="1" thickBot="1">
      <c r="A300" s="191"/>
      <c r="B300" s="54"/>
      <c r="C300" s="350"/>
      <c r="D300" s="350"/>
      <c r="E300" s="350"/>
      <c r="F300" s="350"/>
      <c r="G300" s="65"/>
      <c r="H300" s="246"/>
      <c r="I300" s="246"/>
      <c r="K300" s="65"/>
      <c r="L300" s="65"/>
      <c r="M300" s="54"/>
    </row>
    <row r="301" spans="1:13" ht="12.75" customHeight="1" thickTop="1">
      <c r="A301" s="191"/>
      <c r="B301" s="54"/>
      <c r="C301" s="65"/>
      <c r="D301" s="65"/>
      <c r="E301" s="65"/>
      <c r="F301" s="65"/>
      <c r="G301" s="65"/>
      <c r="H301" s="65"/>
      <c r="I301" s="98"/>
      <c r="J301" s="98"/>
      <c r="K301" s="65"/>
      <c r="L301" s="65"/>
      <c r="M301" s="54"/>
    </row>
    <row r="302" spans="1:13" ht="12.75" customHeight="1">
      <c r="A302" s="191"/>
      <c r="B302" s="54"/>
      <c r="C302" s="65"/>
      <c r="D302" s="65"/>
      <c r="E302" s="65"/>
      <c r="F302" s="65"/>
      <c r="G302" s="65"/>
      <c r="H302" s="65"/>
      <c r="I302" s="98"/>
      <c r="J302" s="98"/>
      <c r="K302" s="65"/>
      <c r="L302" s="65"/>
      <c r="M302" s="54"/>
    </row>
    <row r="303" spans="1:13" ht="15" customHeight="1">
      <c r="A303" s="191"/>
      <c r="B303" s="54"/>
      <c r="C303" s="65"/>
      <c r="D303" s="65"/>
      <c r="E303" s="65"/>
      <c r="F303" s="65"/>
      <c r="G303" s="65"/>
      <c r="H303" s="65"/>
      <c r="I303" s="98"/>
      <c r="J303" s="98"/>
      <c r="K303" s="65"/>
      <c r="L303" s="65"/>
      <c r="M303" s="54"/>
    </row>
    <row r="304" spans="1:13" ht="15.75" customHeight="1">
      <c r="A304" s="194">
        <v>28</v>
      </c>
      <c r="B304" s="195"/>
      <c r="C304" s="64" t="s">
        <v>124</v>
      </c>
      <c r="D304" s="65"/>
      <c r="E304" s="65"/>
      <c r="F304" s="65"/>
      <c r="G304" s="65"/>
      <c r="H304" s="65"/>
      <c r="I304" s="65"/>
      <c r="J304" s="65"/>
      <c r="K304" s="65"/>
      <c r="L304" s="65"/>
      <c r="M304" s="54"/>
    </row>
    <row r="305" spans="1:11" s="328" customFormat="1" ht="13.5" customHeight="1">
      <c r="A305" s="329"/>
      <c r="B305" s="329"/>
      <c r="C305" s="353"/>
      <c r="D305" s="353"/>
      <c r="E305" s="353"/>
      <c r="F305" s="353"/>
      <c r="G305" s="353"/>
      <c r="H305" s="353"/>
      <c r="I305" s="353"/>
      <c r="J305" s="330"/>
      <c r="K305" s="330"/>
    </row>
    <row r="306" spans="1:11" s="328" customFormat="1" ht="44.25" customHeight="1">
      <c r="A306" s="329"/>
      <c r="B306" s="331"/>
      <c r="C306" s="386" t="s">
        <v>318</v>
      </c>
      <c r="D306" s="386"/>
      <c r="E306" s="386"/>
      <c r="F306" s="386"/>
      <c r="G306" s="386"/>
      <c r="H306" s="386"/>
      <c r="I306" s="386"/>
      <c r="J306" s="330"/>
      <c r="K306" s="330"/>
    </row>
    <row r="307" spans="1:11" s="328" customFormat="1" ht="45.75" customHeight="1">
      <c r="A307" s="329"/>
      <c r="B307" s="333"/>
      <c r="C307" s="386" t="s">
        <v>312</v>
      </c>
      <c r="D307" s="386"/>
      <c r="E307" s="386"/>
      <c r="F307" s="386"/>
      <c r="G307" s="386"/>
      <c r="H307" s="386"/>
      <c r="I307" s="386"/>
      <c r="J307" s="330"/>
      <c r="K307" s="330"/>
    </row>
    <row r="308" spans="1:11" s="328" customFormat="1" ht="26.25" customHeight="1">
      <c r="A308" s="329"/>
      <c r="B308" s="333"/>
      <c r="C308" s="386" t="s">
        <v>308</v>
      </c>
      <c r="D308" s="386"/>
      <c r="E308" s="386"/>
      <c r="F308" s="386"/>
      <c r="G308" s="386"/>
      <c r="H308" s="386"/>
      <c r="I308" s="386"/>
      <c r="J308" s="330"/>
      <c r="K308" s="330"/>
    </row>
    <row r="309" spans="1:11" s="328" customFormat="1" ht="29.25" customHeight="1">
      <c r="A309" s="329"/>
      <c r="B309" s="333"/>
      <c r="C309" s="384" t="s">
        <v>313</v>
      </c>
      <c r="D309" s="384"/>
      <c r="E309" s="384"/>
      <c r="F309" s="384"/>
      <c r="G309" s="384"/>
      <c r="H309" s="384"/>
      <c r="I309" s="384"/>
      <c r="J309" s="330"/>
      <c r="K309" s="330"/>
    </row>
    <row r="310" spans="1:11" s="328" customFormat="1" ht="40.5" customHeight="1">
      <c r="A310" s="329"/>
      <c r="B310" s="331"/>
      <c r="C310" s="384" t="s">
        <v>317</v>
      </c>
      <c r="D310" s="384"/>
      <c r="E310" s="384"/>
      <c r="F310" s="384"/>
      <c r="G310" s="384"/>
      <c r="H310" s="384"/>
      <c r="I310" s="384"/>
      <c r="J310" s="330"/>
      <c r="K310" s="330"/>
    </row>
    <row r="311" spans="1:13" ht="31.5" customHeight="1">
      <c r="A311" s="196"/>
      <c r="B311" s="196"/>
      <c r="C311" s="384" t="s">
        <v>314</v>
      </c>
      <c r="D311" s="385"/>
      <c r="E311" s="385"/>
      <c r="F311" s="385"/>
      <c r="G311" s="385"/>
      <c r="H311" s="385"/>
      <c r="I311" s="385"/>
      <c r="J311" s="198"/>
      <c r="K311" s="198"/>
      <c r="L311" s="65"/>
      <c r="M311" s="54"/>
    </row>
    <row r="312" spans="1:13" ht="24" customHeight="1">
      <c r="A312" s="196"/>
      <c r="B312" s="196"/>
      <c r="C312" s="197"/>
      <c r="D312" s="198"/>
      <c r="E312" s="198"/>
      <c r="F312" s="198"/>
      <c r="G312" s="198"/>
      <c r="H312" s="198"/>
      <c r="I312" s="198"/>
      <c r="J312" s="198"/>
      <c r="K312" s="198"/>
      <c r="L312" s="65"/>
      <c r="M312" s="54"/>
    </row>
    <row r="313" spans="1:13" s="209" customFormat="1" ht="18.75">
      <c r="A313" s="211">
        <v>29</v>
      </c>
      <c r="B313" s="199"/>
      <c r="C313" s="210" t="s">
        <v>260</v>
      </c>
      <c r="D313" s="200"/>
      <c r="E313" s="200"/>
      <c r="F313" s="200"/>
      <c r="G313" s="200"/>
      <c r="H313" s="200"/>
      <c r="I313" s="200"/>
      <c r="J313" s="200"/>
      <c r="K313" s="207"/>
      <c r="L313" s="207"/>
      <c r="M313" s="208"/>
    </row>
    <row r="314" spans="1:13" s="209" customFormat="1" ht="18.75">
      <c r="A314" s="196"/>
      <c r="B314" s="199"/>
      <c r="C314" s="348" t="s">
        <v>315</v>
      </c>
      <c r="D314" s="349"/>
      <c r="E314" s="349"/>
      <c r="F314" s="349"/>
      <c r="G314" s="349"/>
      <c r="H314" s="349"/>
      <c r="I314" s="349"/>
      <c r="J314" s="349"/>
      <c r="K314" s="207"/>
      <c r="L314" s="207"/>
      <c r="M314" s="208"/>
    </row>
    <row r="315" spans="1:13" s="209" customFormat="1" ht="18" customHeight="1">
      <c r="A315" s="196"/>
      <c r="B315" s="196"/>
      <c r="C315" s="349"/>
      <c r="D315" s="349"/>
      <c r="E315" s="349"/>
      <c r="F315" s="349"/>
      <c r="G315" s="349"/>
      <c r="H315" s="349"/>
      <c r="I315" s="349"/>
      <c r="J315" s="349"/>
      <c r="K315" s="207"/>
      <c r="L315" s="207"/>
      <c r="M315" s="208"/>
    </row>
    <row r="316" spans="1:13" ht="21.75" customHeight="1">
      <c r="A316" s="196"/>
      <c r="B316" s="199"/>
      <c r="C316" s="200"/>
      <c r="D316" s="200"/>
      <c r="E316" s="200"/>
      <c r="F316" s="200"/>
      <c r="G316" s="200"/>
      <c r="H316" s="200"/>
      <c r="I316" s="200"/>
      <c r="J316" s="200"/>
      <c r="K316" s="65"/>
      <c r="L316" s="65"/>
      <c r="M316" s="54"/>
    </row>
    <row r="317" spans="1:13" ht="24.75" customHeight="1">
      <c r="A317" s="196"/>
      <c r="B317" s="196"/>
      <c r="C317" s="201"/>
      <c r="D317" s="198"/>
      <c r="E317" s="198"/>
      <c r="F317" s="198"/>
      <c r="G317" s="198"/>
      <c r="H317" s="198"/>
      <c r="I317" s="198"/>
      <c r="J317" s="198"/>
      <c r="K317" s="65"/>
      <c r="L317" s="65"/>
      <c r="M317" s="54"/>
    </row>
    <row r="318" spans="1:13" ht="10.5" customHeight="1">
      <c r="A318" s="196"/>
      <c r="B318" s="196"/>
      <c r="C318" s="197"/>
      <c r="D318" s="198"/>
      <c r="E318" s="198"/>
      <c r="F318" s="198"/>
      <c r="G318" s="198"/>
      <c r="H318" s="198"/>
      <c r="I318" s="198"/>
      <c r="J318" s="198"/>
      <c r="K318" s="65"/>
      <c r="L318" s="65"/>
      <c r="M318" s="54"/>
    </row>
    <row r="319" spans="1:13" ht="12.75" customHeight="1">
      <c r="A319" s="196"/>
      <c r="B319" s="196"/>
      <c r="C319" s="197"/>
      <c r="D319" s="198"/>
      <c r="E319" s="198"/>
      <c r="F319" s="198"/>
      <c r="G319" s="198"/>
      <c r="H319" s="198"/>
      <c r="I319" s="198"/>
      <c r="J319" s="198"/>
      <c r="K319" s="65"/>
      <c r="L319" s="65"/>
      <c r="M319" s="54"/>
    </row>
    <row r="320" spans="1:13" ht="16.5" customHeight="1">
      <c r="A320" s="54"/>
      <c r="B320" s="54"/>
      <c r="C320" s="54" t="s">
        <v>34</v>
      </c>
      <c r="D320" s="54"/>
      <c r="E320" s="198"/>
      <c r="F320" s="198"/>
      <c r="G320" s="198"/>
      <c r="H320" s="198"/>
      <c r="I320" s="198"/>
      <c r="J320" s="198"/>
      <c r="K320" s="65"/>
      <c r="L320" s="65"/>
      <c r="M320" s="54"/>
    </row>
    <row r="321" spans="1:13" ht="16.5" customHeight="1">
      <c r="A321" s="54"/>
      <c r="B321" s="54"/>
      <c r="C321" s="54"/>
      <c r="D321" s="54"/>
      <c r="E321" s="198"/>
      <c r="F321" s="198"/>
      <c r="G321" s="198"/>
      <c r="H321" s="198"/>
      <c r="I321" s="198"/>
      <c r="J321" s="198"/>
      <c r="K321" s="65"/>
      <c r="L321" s="65"/>
      <c r="M321" s="54"/>
    </row>
    <row r="322" spans="1:13" ht="16.5" customHeight="1">
      <c r="A322" s="54"/>
      <c r="B322" s="54"/>
      <c r="C322" s="54"/>
      <c r="D322" s="54"/>
      <c r="E322" s="198"/>
      <c r="F322" s="198"/>
      <c r="G322" s="198"/>
      <c r="H322" s="198"/>
      <c r="I322" s="198"/>
      <c r="J322" s="198"/>
      <c r="K322" s="65"/>
      <c r="L322" s="65"/>
      <c r="M322" s="54"/>
    </row>
    <row r="323" spans="1:13" ht="16.5" customHeight="1">
      <c r="A323" s="54"/>
      <c r="B323" s="54"/>
      <c r="C323" s="54"/>
      <c r="D323" s="54"/>
      <c r="E323" s="198"/>
      <c r="F323" s="198"/>
      <c r="G323" s="198"/>
      <c r="H323" s="198"/>
      <c r="I323" s="198"/>
      <c r="J323" s="198"/>
      <c r="K323" s="65"/>
      <c r="L323" s="65"/>
      <c r="M323" s="54"/>
    </row>
    <row r="324" spans="1:13" ht="18.75">
      <c r="A324" s="54"/>
      <c r="B324" s="54"/>
      <c r="C324" s="55" t="s">
        <v>145</v>
      </c>
      <c r="D324" s="54"/>
      <c r="E324" s="198"/>
      <c r="F324" s="198"/>
      <c r="G324" s="198"/>
      <c r="H324" s="198"/>
      <c r="I324" s="198"/>
      <c r="J324" s="198"/>
      <c r="K324" s="65"/>
      <c r="L324" s="65"/>
      <c r="M324" s="54"/>
    </row>
    <row r="325" spans="1:13" ht="18.75">
      <c r="A325" s="54"/>
      <c r="B325" s="54"/>
      <c r="C325" s="54" t="s">
        <v>35</v>
      </c>
      <c r="D325" s="54"/>
      <c r="E325" s="198"/>
      <c r="F325" s="198"/>
      <c r="G325" s="198"/>
      <c r="H325" s="198"/>
      <c r="I325" s="198"/>
      <c r="J325" s="198"/>
      <c r="K325" s="65"/>
      <c r="L325" s="65"/>
      <c r="M325" s="54"/>
    </row>
    <row r="326" spans="1:13" ht="18" customHeight="1">
      <c r="A326" s="54"/>
      <c r="B326" s="54"/>
      <c r="C326" s="202" t="s">
        <v>316</v>
      </c>
      <c r="D326" s="203"/>
      <c r="E326" s="198"/>
      <c r="F326" s="198"/>
      <c r="G326" s="198"/>
      <c r="H326" s="198"/>
      <c r="I326" s="198"/>
      <c r="J326" s="198"/>
      <c r="K326" s="65"/>
      <c r="L326" s="65"/>
      <c r="M326" s="54"/>
    </row>
    <row r="327" spans="1:13" ht="12.75" customHeight="1">
      <c r="A327" s="351"/>
      <c r="B327" s="351"/>
      <c r="C327" s="351"/>
      <c r="D327" s="351"/>
      <c r="E327" s="351"/>
      <c r="F327" s="351"/>
      <c r="G327" s="351"/>
      <c r="H327" s="351"/>
      <c r="I327" s="351"/>
      <c r="J327" s="351"/>
      <c r="K327" s="65"/>
      <c r="L327" s="65"/>
      <c r="M327" s="54"/>
    </row>
    <row r="328" spans="1:13" ht="12.75" customHeight="1">
      <c r="A328" s="196"/>
      <c r="B328" s="196"/>
      <c r="C328" s="197"/>
      <c r="D328" s="198"/>
      <c r="E328" s="198"/>
      <c r="F328" s="198"/>
      <c r="G328" s="198"/>
      <c r="H328" s="198"/>
      <c r="I328" s="198"/>
      <c r="J328" s="198"/>
      <c r="K328" s="65"/>
      <c r="L328" s="65"/>
      <c r="M328" s="54"/>
    </row>
    <row r="329" spans="1:13" ht="15" customHeight="1">
      <c r="A329" s="204"/>
      <c r="B329" s="193"/>
      <c r="C329" s="350"/>
      <c r="D329" s="350"/>
      <c r="E329" s="350"/>
      <c r="F329" s="350"/>
      <c r="G329" s="350"/>
      <c r="H329" s="350"/>
      <c r="I329" s="350"/>
      <c r="J329" s="350"/>
      <c r="K329" s="65"/>
      <c r="L329" s="65"/>
      <c r="M329" s="54"/>
    </row>
    <row r="330" spans="1:13" ht="17.25" customHeight="1">
      <c r="A330" s="194"/>
      <c r="B330" s="193"/>
      <c r="C330" s="64"/>
      <c r="D330" s="65"/>
      <c r="E330" s="65"/>
      <c r="F330" s="65"/>
      <c r="G330" s="65"/>
      <c r="H330" s="65"/>
      <c r="I330" s="65"/>
      <c r="J330" s="65"/>
      <c r="K330" s="65"/>
      <c r="L330" s="65"/>
      <c r="M330" s="54"/>
    </row>
    <row r="331" spans="1:13" ht="10.5" customHeight="1">
      <c r="A331" s="204"/>
      <c r="B331" s="193"/>
      <c r="C331" s="350"/>
      <c r="D331" s="350"/>
      <c r="E331" s="350"/>
      <c r="F331" s="350"/>
      <c r="G331" s="350"/>
      <c r="H331" s="350"/>
      <c r="I331" s="350"/>
      <c r="J331" s="350"/>
      <c r="K331" s="65"/>
      <c r="L331" s="65"/>
      <c r="M331" s="54"/>
    </row>
    <row r="332" spans="1:13" ht="15" customHeight="1">
      <c r="A332" s="191"/>
      <c r="B332" s="54"/>
      <c r="C332" s="65"/>
      <c r="D332" s="65"/>
      <c r="E332" s="65"/>
      <c r="F332" s="65"/>
      <c r="G332" s="65"/>
      <c r="H332" s="65"/>
      <c r="I332" s="65"/>
      <c r="J332" s="65"/>
      <c r="K332" s="65"/>
      <c r="L332" s="65"/>
      <c r="M332" s="54"/>
    </row>
    <row r="333" spans="1:13" ht="12.75" customHeight="1">
      <c r="A333" s="191"/>
      <c r="B333" s="54"/>
      <c r="C333" s="65"/>
      <c r="D333" s="65"/>
      <c r="E333" s="65"/>
      <c r="F333" s="65"/>
      <c r="G333" s="65"/>
      <c r="H333" s="65"/>
      <c r="I333" s="65"/>
      <c r="J333" s="65"/>
      <c r="K333" s="65"/>
      <c r="L333" s="65"/>
      <c r="M333" s="54"/>
    </row>
    <row r="334" spans="1:13" ht="14.25" customHeight="1">
      <c r="A334" s="191"/>
      <c r="B334" s="54"/>
      <c r="C334" s="65"/>
      <c r="D334" s="65"/>
      <c r="E334" s="65"/>
      <c r="F334" s="65"/>
      <c r="G334" s="65"/>
      <c r="H334" s="65"/>
      <c r="I334" s="65"/>
      <c r="J334" s="65"/>
      <c r="K334" s="65"/>
      <c r="L334" s="65"/>
      <c r="M334" s="54"/>
    </row>
    <row r="335" spans="1:13" ht="13.5" customHeight="1">
      <c r="A335" s="191"/>
      <c r="B335" s="54"/>
      <c r="C335" s="65"/>
      <c r="D335" s="65"/>
      <c r="E335" s="65"/>
      <c r="F335" s="65"/>
      <c r="G335" s="65"/>
      <c r="H335" s="65"/>
      <c r="I335" s="65"/>
      <c r="J335" s="65"/>
      <c r="K335" s="65"/>
      <c r="L335" s="65"/>
      <c r="M335" s="54"/>
    </row>
    <row r="336" spans="1:13" ht="13.5" customHeight="1">
      <c r="A336" s="191"/>
      <c r="B336" s="54"/>
      <c r="C336" s="65"/>
      <c r="D336" s="65"/>
      <c r="E336" s="65"/>
      <c r="F336" s="65"/>
      <c r="G336" s="65"/>
      <c r="H336" s="65"/>
      <c r="I336" s="65"/>
      <c r="J336" s="65"/>
      <c r="K336" s="65"/>
      <c r="L336" s="65"/>
      <c r="M336" s="54"/>
    </row>
    <row r="337" spans="1:13" ht="14.25" customHeight="1">
      <c r="A337" s="191"/>
      <c r="B337" s="54"/>
      <c r="C337" s="65"/>
      <c r="D337" s="65"/>
      <c r="E337" s="65"/>
      <c r="F337" s="65"/>
      <c r="G337" s="65"/>
      <c r="H337" s="65"/>
      <c r="I337" s="65"/>
      <c r="J337" s="65"/>
      <c r="K337" s="65"/>
      <c r="L337" s="65"/>
      <c r="M337" s="54"/>
    </row>
    <row r="338" spans="1:13" ht="15.75" customHeight="1">
      <c r="A338" s="191"/>
      <c r="B338" s="54"/>
      <c r="C338" s="65"/>
      <c r="D338" s="65"/>
      <c r="E338" s="65"/>
      <c r="F338" s="65"/>
      <c r="G338" s="65"/>
      <c r="H338" s="65"/>
      <c r="I338" s="65"/>
      <c r="J338" s="65"/>
      <c r="K338" s="65"/>
      <c r="L338" s="65"/>
      <c r="M338" s="54"/>
    </row>
    <row r="339" spans="1:13" ht="18.75" customHeight="1">
      <c r="A339" s="191"/>
      <c r="B339" s="54"/>
      <c r="C339" s="65"/>
      <c r="D339" s="65"/>
      <c r="E339" s="65"/>
      <c r="F339" s="65"/>
      <c r="G339" s="65"/>
      <c r="H339" s="65"/>
      <c r="I339" s="65"/>
      <c r="J339" s="65"/>
      <c r="K339" s="65"/>
      <c r="L339" s="65"/>
      <c r="M339" s="54"/>
    </row>
    <row r="340" spans="1:13" ht="18" customHeight="1">
      <c r="A340" s="191"/>
      <c r="B340" s="54"/>
      <c r="C340" s="65"/>
      <c r="D340" s="65"/>
      <c r="E340" s="65"/>
      <c r="F340" s="65"/>
      <c r="G340" s="65"/>
      <c r="H340" s="65"/>
      <c r="I340" s="65"/>
      <c r="J340" s="65"/>
      <c r="K340" s="65"/>
      <c r="L340" s="65"/>
      <c r="M340" s="54"/>
    </row>
    <row r="341" spans="1:13" ht="6" customHeight="1">
      <c r="A341" s="191"/>
      <c r="B341" s="54"/>
      <c r="C341" s="65"/>
      <c r="D341" s="65"/>
      <c r="E341" s="65"/>
      <c r="F341" s="65"/>
      <c r="G341" s="65"/>
      <c r="H341" s="65"/>
      <c r="I341" s="65"/>
      <c r="J341" s="65"/>
      <c r="K341" s="65"/>
      <c r="L341" s="65"/>
      <c r="M341" s="54"/>
    </row>
    <row r="342" spans="1:13" ht="15" customHeight="1">
      <c r="A342" s="205"/>
      <c r="B342" s="54"/>
      <c r="C342" s="387"/>
      <c r="D342" s="387"/>
      <c r="E342" s="387"/>
      <c r="F342" s="387"/>
      <c r="G342" s="387"/>
      <c r="H342" s="387"/>
      <c r="I342" s="387"/>
      <c r="J342" s="387"/>
      <c r="K342" s="65"/>
      <c r="L342" s="65"/>
      <c r="M342" s="54"/>
    </row>
    <row r="343" spans="1:13" ht="15" customHeight="1">
      <c r="A343" s="191"/>
      <c r="B343" s="54"/>
      <c r="C343" s="350"/>
      <c r="D343" s="350"/>
      <c r="E343" s="350"/>
      <c r="F343" s="350"/>
      <c r="G343" s="350"/>
      <c r="H343" s="350"/>
      <c r="I343" s="350"/>
      <c r="J343" s="350"/>
      <c r="K343" s="65"/>
      <c r="L343" s="65"/>
      <c r="M343" s="54"/>
    </row>
    <row r="344" spans="1:13" ht="15" customHeight="1">
      <c r="A344" s="191"/>
      <c r="B344" s="54"/>
      <c r="C344" s="350"/>
      <c r="D344" s="350"/>
      <c r="E344" s="350"/>
      <c r="F344" s="350"/>
      <c r="G344" s="350"/>
      <c r="H344" s="350"/>
      <c r="I344" s="350"/>
      <c r="J344" s="350"/>
      <c r="K344" s="65"/>
      <c r="L344" s="65"/>
      <c r="M344" s="54"/>
    </row>
    <row r="345" spans="1:13" ht="15" customHeight="1">
      <c r="A345" s="191"/>
      <c r="B345" s="54"/>
      <c r="C345" s="65"/>
      <c r="D345" s="65"/>
      <c r="E345" s="65"/>
      <c r="F345" s="65"/>
      <c r="G345" s="65"/>
      <c r="H345" s="65"/>
      <c r="I345" s="65"/>
      <c r="J345" s="65"/>
      <c r="K345" s="65"/>
      <c r="L345" s="65"/>
      <c r="M345" s="54"/>
    </row>
    <row r="346" spans="1:13" ht="0.75" customHeight="1">
      <c r="A346" s="54"/>
      <c r="B346" s="54"/>
      <c r="C346" s="54"/>
      <c r="D346" s="54"/>
      <c r="E346" s="54"/>
      <c r="F346" s="54"/>
      <c r="G346" s="54"/>
      <c r="H346" s="54"/>
      <c r="I346" s="54"/>
      <c r="J346" s="54"/>
      <c r="K346" s="65"/>
      <c r="L346" s="65"/>
      <c r="M346" s="54"/>
    </row>
    <row r="347" spans="1:13" ht="22.5" customHeight="1">
      <c r="A347" s="54"/>
      <c r="B347" s="54"/>
      <c r="C347" s="54"/>
      <c r="D347" s="54"/>
      <c r="E347" s="54"/>
      <c r="F347" s="54"/>
      <c r="G347" s="54"/>
      <c r="H347" s="54"/>
      <c r="I347" s="54"/>
      <c r="J347" s="54"/>
      <c r="K347" s="54"/>
      <c r="L347" s="54"/>
      <c r="M347" s="54"/>
    </row>
    <row r="348" spans="1:13" ht="18.75">
      <c r="A348" s="54"/>
      <c r="B348" s="54"/>
      <c r="C348" s="54"/>
      <c r="D348" s="54"/>
      <c r="E348" s="54"/>
      <c r="F348" s="54"/>
      <c r="G348" s="54"/>
      <c r="H348" s="54"/>
      <c r="I348" s="54"/>
      <c r="J348" s="54"/>
      <c r="K348" s="54"/>
      <c r="L348" s="54"/>
      <c r="M348" s="54"/>
    </row>
    <row r="349" spans="1:13" ht="18.75">
      <c r="A349" s="54"/>
      <c r="B349" s="54"/>
      <c r="C349" s="54"/>
      <c r="D349" s="54"/>
      <c r="E349" s="54"/>
      <c r="F349" s="54"/>
      <c r="G349" s="54"/>
      <c r="H349" s="54"/>
      <c r="I349" s="54"/>
      <c r="J349" s="54"/>
      <c r="K349" s="54"/>
      <c r="L349" s="54"/>
      <c r="M349" s="54"/>
    </row>
  </sheetData>
  <mergeCells count="138">
    <mergeCell ref="C279:F279"/>
    <mergeCell ref="C119:L119"/>
    <mergeCell ref="H96:I96"/>
    <mergeCell ref="C99:F99"/>
    <mergeCell ref="C100:F100"/>
    <mergeCell ref="C118:L118"/>
    <mergeCell ref="C269:J269"/>
    <mergeCell ref="C271:F271"/>
    <mergeCell ref="C272:F272"/>
    <mergeCell ref="C127:F127"/>
    <mergeCell ref="C278:F278"/>
    <mergeCell ref="C252:J252"/>
    <mergeCell ref="C257:J257"/>
    <mergeCell ref="C260:J260"/>
    <mergeCell ref="C261:J261"/>
    <mergeCell ref="A265:J265"/>
    <mergeCell ref="C268:J268"/>
    <mergeCell ref="C273:F273"/>
    <mergeCell ref="C274:F274"/>
    <mergeCell ref="C275:F275"/>
    <mergeCell ref="A1:L1"/>
    <mergeCell ref="C8:L8"/>
    <mergeCell ref="C64:E64"/>
    <mergeCell ref="J75:K75"/>
    <mergeCell ref="A2:L2"/>
    <mergeCell ref="C15:L15"/>
    <mergeCell ref="C10:L10"/>
    <mergeCell ref="C24:L24"/>
    <mergeCell ref="C16:L16"/>
    <mergeCell ref="D17:E17"/>
    <mergeCell ref="D19:E19"/>
    <mergeCell ref="C9:L9"/>
    <mergeCell ref="C11:L11"/>
    <mergeCell ref="C13:L13"/>
    <mergeCell ref="C14:L14"/>
    <mergeCell ref="C27:L27"/>
    <mergeCell ref="A29:L29"/>
    <mergeCell ref="C26:L26"/>
    <mergeCell ref="C31:E31"/>
    <mergeCell ref="C32:J32"/>
    <mergeCell ref="C35:L35"/>
    <mergeCell ref="C38:J38"/>
    <mergeCell ref="C39:J39"/>
    <mergeCell ref="C42:L42"/>
    <mergeCell ref="C45:J45"/>
    <mergeCell ref="C46:J46"/>
    <mergeCell ref="C40:J40"/>
    <mergeCell ref="A47:J47"/>
    <mergeCell ref="C62:E62"/>
    <mergeCell ref="C65:E65"/>
    <mergeCell ref="C52:L52"/>
    <mergeCell ref="F54:G54"/>
    <mergeCell ref="H54:I54"/>
    <mergeCell ref="C49:J49"/>
    <mergeCell ref="K49:M49"/>
    <mergeCell ref="C70:M70"/>
    <mergeCell ref="J72:K72"/>
    <mergeCell ref="J73:K73"/>
    <mergeCell ref="C81:J81"/>
    <mergeCell ref="J74:K74"/>
    <mergeCell ref="C84:M84"/>
    <mergeCell ref="C89:L89"/>
    <mergeCell ref="H123:I123"/>
    <mergeCell ref="C126:F126"/>
    <mergeCell ref="C95:L95"/>
    <mergeCell ref="C87:L87"/>
    <mergeCell ref="C98:L98"/>
    <mergeCell ref="A91:J91"/>
    <mergeCell ref="A92:J92"/>
    <mergeCell ref="C135:J135"/>
    <mergeCell ref="C130:F130"/>
    <mergeCell ref="A138:J138"/>
    <mergeCell ref="C129:F129"/>
    <mergeCell ref="C142:L142"/>
    <mergeCell ref="C143:L143"/>
    <mergeCell ref="H146:I146"/>
    <mergeCell ref="A183:J183"/>
    <mergeCell ref="C154:L154"/>
    <mergeCell ref="H158:I158"/>
    <mergeCell ref="A182:J182"/>
    <mergeCell ref="C185:L185"/>
    <mergeCell ref="C186:L186"/>
    <mergeCell ref="C187:J187"/>
    <mergeCell ref="C188:J188"/>
    <mergeCell ref="C191:D191"/>
    <mergeCell ref="C192:D192"/>
    <mergeCell ref="C193:D193"/>
    <mergeCell ref="C196:J196"/>
    <mergeCell ref="C197:J197"/>
    <mergeCell ref="C202:L202"/>
    <mergeCell ref="C203:L203"/>
    <mergeCell ref="C200:J200"/>
    <mergeCell ref="C270:F270"/>
    <mergeCell ref="C276:F276"/>
    <mergeCell ref="C277:F277"/>
    <mergeCell ref="A214:J214"/>
    <mergeCell ref="C218:L218"/>
    <mergeCell ref="C222:J222"/>
    <mergeCell ref="D228:E228"/>
    <mergeCell ref="C225:J225"/>
    <mergeCell ref="C236:J236"/>
    <mergeCell ref="D241:E241"/>
    <mergeCell ref="C249:J249"/>
    <mergeCell ref="C251:J251"/>
    <mergeCell ref="C239:J239"/>
    <mergeCell ref="C329:J329"/>
    <mergeCell ref="C305:I305"/>
    <mergeCell ref="C284:F284"/>
    <mergeCell ref="C280:F280"/>
    <mergeCell ref="C281:F281"/>
    <mergeCell ref="C282:F282"/>
    <mergeCell ref="C283:F283"/>
    <mergeCell ref="C342:J342"/>
    <mergeCell ref="A287:J287"/>
    <mergeCell ref="C288:F288"/>
    <mergeCell ref="C292:F292"/>
    <mergeCell ref="C289:F289"/>
    <mergeCell ref="C298:F298"/>
    <mergeCell ref="C296:F296"/>
    <mergeCell ref="C293:F293"/>
    <mergeCell ref="C294:F294"/>
    <mergeCell ref="C331:J331"/>
    <mergeCell ref="C286:F286"/>
    <mergeCell ref="C314:J315"/>
    <mergeCell ref="C343:J343"/>
    <mergeCell ref="C344:J344"/>
    <mergeCell ref="C290:F290"/>
    <mergeCell ref="C299:F299"/>
    <mergeCell ref="A327:J327"/>
    <mergeCell ref="C300:F300"/>
    <mergeCell ref="C291:F291"/>
    <mergeCell ref="C297:F297"/>
    <mergeCell ref="C310:I310"/>
    <mergeCell ref="C311:I311"/>
    <mergeCell ref="C306:I306"/>
    <mergeCell ref="C307:I307"/>
    <mergeCell ref="C308:I308"/>
    <mergeCell ref="C309:I309"/>
  </mergeCells>
  <printOptions horizontalCentered="1"/>
  <pageMargins left="0.75" right="0.75" top="1" bottom="1" header="0.5" footer="0.5"/>
  <pageSetup horizontalDpi="300" verticalDpi="300" orientation="portrait" scale="55" r:id="rId1"/>
  <rowBreaks count="7" manualBreakCount="7">
    <brk id="28" max="11" man="1"/>
    <brk id="89" max="11" man="1"/>
    <brk id="136" max="11" man="1"/>
    <brk id="181" max="11" man="1"/>
    <brk id="212" max="11" man="1"/>
    <brk id="263" max="11" man="1"/>
    <brk id="333" max="8" man="1"/>
  </rowBreaks>
  <colBreaks count="1" manualBreakCount="1">
    <brk id="10" max="3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Cheri Toh</cp:lastModifiedBy>
  <cp:lastPrinted>2006-08-25T05:55:42Z</cp:lastPrinted>
  <dcterms:created xsi:type="dcterms:W3CDTF">1999-10-13T04:05:52Z</dcterms:created>
  <dcterms:modified xsi:type="dcterms:W3CDTF">2006-08-25T06:17:04Z</dcterms:modified>
  <cp:category/>
  <cp:version/>
  <cp:contentType/>
  <cp:contentStatus/>
</cp:coreProperties>
</file>